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wdp" ContentType="image/vnd.ms-photo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610"/>
  <workbookPr/>
  <mc:AlternateContent xmlns:mc="http://schemas.openxmlformats.org/markup-compatibility/2006">
    <mc:Choice Requires="x15">
      <x15ac:absPath xmlns:x15ac="http://schemas.microsoft.com/office/spreadsheetml/2010/11/ac" url="/Users/pedrodelbiancobenedeti/Desktop/"/>
    </mc:Choice>
  </mc:AlternateContent>
  <bookViews>
    <workbookView xWindow="20" yWindow="460" windowWidth="38200" windowHeight="21060" tabRatio="500"/>
  </bookViews>
  <sheets>
    <sheet name="Requirements calculation" sheetId="1" r:id="rId1"/>
    <sheet name="PBmic" sheetId="3" state="hidden" r:id="rId2"/>
  </sheets>
  <definedNames>
    <definedName name="_xlnm.Print_Area" localSheetId="0">'Requirements calculation'!$E$7:$J$64</definedName>
    <definedName name="Corte">'Requirements calculation'!$B$72</definedName>
    <definedName name="Leite">'Requirements calculation'!$C$72</definedName>
    <definedName name="solver_adj" localSheetId="0">'Requirements calculation'!$L$24:$L$25</definedName>
    <definedName name="solver_opt" localSheetId="0">'Requirements calculation'!$L$26</definedName>
    <definedName name="Z_DABD9BA2_D7B8_4948_BBF0_14D327C4BA24_.wvu.PrintArea" localSheetId="0" hidden="1">'Requirements calculation'!$E$7:$J$64</definedName>
  </definedNames>
  <calcPr calcId="150001" concurrentCalc="0"/>
  <customWorkbookViews>
    <customWorkbookView name="Usuário do Microsoft Office - Modo de exibição pessoal" guid="{DABD9BA2-D7B8-4948-BBF0-14D327C4BA24}" mergeInterval="0" personalView="1" windowWidth="1920" windowHeight="784" tabRatio="500" activeSheetId="1"/>
  </customWorkbookView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9" i="1" l="1"/>
  <c r="I11" i="1"/>
  <c r="D75" i="1"/>
  <c r="D76" i="1"/>
  <c r="D79" i="1"/>
  <c r="I10" i="1"/>
  <c r="I62" i="1"/>
  <c r="I58" i="1"/>
  <c r="I60" i="1"/>
  <c r="T59" i="1"/>
  <c r="C145" i="1"/>
  <c r="C148" i="1"/>
  <c r="C147" i="1"/>
  <c r="C146" i="1"/>
  <c r="C151" i="1"/>
  <c r="C149" i="1"/>
  <c r="C152" i="1"/>
  <c r="C153" i="1"/>
  <c r="C154" i="1"/>
  <c r="C155" i="1"/>
  <c r="D145" i="1"/>
  <c r="D148" i="1"/>
  <c r="D147" i="1"/>
  <c r="D146" i="1"/>
  <c r="D149" i="1"/>
  <c r="D152" i="1"/>
  <c r="D153" i="1"/>
  <c r="D154" i="1"/>
  <c r="D155" i="1"/>
  <c r="T17" i="1"/>
  <c r="C156" i="1"/>
  <c r="D156" i="1"/>
  <c r="T18" i="1"/>
  <c r="T16" i="1"/>
  <c r="T15" i="1"/>
  <c r="T14" i="1"/>
  <c r="T27" i="1"/>
  <c r="H31" i="1"/>
  <c r="H18" i="1"/>
  <c r="H32" i="1"/>
  <c r="D166" i="1"/>
  <c r="D167" i="1"/>
  <c r="D168" i="1"/>
  <c r="D172" i="1"/>
  <c r="D175" i="1"/>
  <c r="D171" i="1"/>
  <c r="C75" i="1"/>
  <c r="C78" i="1"/>
  <c r="C90" i="1"/>
  <c r="C76" i="1"/>
  <c r="C88" i="1"/>
  <c r="C91" i="1"/>
  <c r="C93" i="1"/>
  <c r="D88" i="1"/>
  <c r="D91" i="1"/>
  <c r="D93" i="1"/>
  <c r="C94" i="1"/>
  <c r="C96" i="1"/>
  <c r="D97" i="1"/>
  <c r="C97" i="1"/>
  <c r="E97" i="1"/>
  <c r="C98" i="1"/>
  <c r="D78" i="1"/>
  <c r="D92" i="1"/>
  <c r="D99" i="1"/>
  <c r="C79" i="1"/>
  <c r="C92" i="1"/>
  <c r="C99" i="1"/>
  <c r="C100" i="1"/>
  <c r="G88" i="1"/>
  <c r="H88" i="1"/>
  <c r="G89" i="1"/>
  <c r="G91" i="1"/>
  <c r="G92" i="1"/>
  <c r="H93" i="1"/>
  <c r="G93" i="1"/>
  <c r="G94" i="1"/>
  <c r="I12" i="1"/>
  <c r="T62" i="1"/>
  <c r="H12" i="1"/>
  <c r="J12" i="1"/>
  <c r="T61" i="1"/>
  <c r="H11" i="1"/>
  <c r="J11" i="1"/>
  <c r="T60" i="1"/>
  <c r="H10" i="1"/>
  <c r="J10" i="1"/>
  <c r="I9" i="1"/>
  <c r="H9" i="1"/>
  <c r="J9" i="1"/>
  <c r="I64" i="1"/>
  <c r="T9" i="1"/>
  <c r="T58" i="1"/>
  <c r="H64" i="1"/>
  <c r="J64" i="1"/>
  <c r="I63" i="1"/>
  <c r="T57" i="1"/>
  <c r="H63" i="1"/>
  <c r="J63" i="1"/>
  <c r="I61" i="1"/>
  <c r="T56" i="1"/>
  <c r="H61" i="1"/>
  <c r="J61" i="1"/>
  <c r="T55" i="1"/>
  <c r="H60" i="1"/>
  <c r="J60" i="1"/>
  <c r="T54" i="1"/>
  <c r="I59" i="1"/>
  <c r="H59" i="1"/>
  <c r="J59" i="1"/>
  <c r="I57" i="1"/>
  <c r="T53" i="1"/>
  <c r="H57" i="1"/>
  <c r="J57" i="1"/>
  <c r="I56" i="1"/>
  <c r="T52" i="1"/>
  <c r="H56" i="1"/>
  <c r="J56" i="1"/>
  <c r="I55" i="1"/>
  <c r="T51" i="1"/>
  <c r="H55" i="1"/>
  <c r="J55" i="1"/>
  <c r="D123" i="1"/>
  <c r="C123" i="1"/>
  <c r="I54" i="1"/>
  <c r="C194" i="1"/>
  <c r="C205" i="1"/>
  <c r="C204" i="1"/>
  <c r="D194" i="1"/>
  <c r="D204" i="1"/>
  <c r="T50" i="1"/>
  <c r="H54" i="1"/>
  <c r="J54" i="1"/>
  <c r="C191" i="1"/>
  <c r="C192" i="1"/>
  <c r="C206" i="1"/>
  <c r="D191" i="1"/>
  <c r="D192" i="1"/>
  <c r="D206" i="1"/>
  <c r="T49" i="1"/>
  <c r="H53" i="1"/>
  <c r="I53" i="1"/>
  <c r="J53" i="1"/>
  <c r="C207" i="1"/>
  <c r="D207" i="1"/>
  <c r="T48" i="1"/>
  <c r="I52" i="1"/>
  <c r="H52" i="1"/>
  <c r="J52" i="1"/>
  <c r="C193" i="1"/>
  <c r="C208" i="1"/>
  <c r="D193" i="1"/>
  <c r="D208" i="1"/>
  <c r="T47" i="1"/>
  <c r="D124" i="1"/>
  <c r="C124" i="1"/>
  <c r="I51" i="1"/>
  <c r="H51" i="1"/>
  <c r="J51" i="1"/>
  <c r="D209" i="1"/>
  <c r="D210" i="1"/>
  <c r="D211" i="1"/>
  <c r="D212" i="1"/>
  <c r="D214" i="1"/>
  <c r="C209" i="1"/>
  <c r="C210" i="1"/>
  <c r="C211" i="1"/>
  <c r="C212" i="1"/>
  <c r="C214" i="1"/>
  <c r="T46" i="1"/>
  <c r="H50" i="1"/>
  <c r="I50" i="1"/>
  <c r="J50" i="1"/>
  <c r="D213" i="1"/>
  <c r="C213" i="1"/>
  <c r="T45" i="1"/>
  <c r="I49" i="1"/>
  <c r="H49" i="1"/>
  <c r="J49" i="1"/>
  <c r="C201" i="1"/>
  <c r="D201" i="1"/>
  <c r="T44" i="1"/>
  <c r="D122" i="1"/>
  <c r="C122" i="1"/>
  <c r="I48" i="1"/>
  <c r="H48" i="1"/>
  <c r="J48" i="1"/>
  <c r="C202" i="1"/>
  <c r="D202" i="1"/>
  <c r="T43" i="1"/>
  <c r="H47" i="1"/>
  <c r="I47" i="1"/>
  <c r="J47" i="1"/>
  <c r="C203" i="1"/>
  <c r="D203" i="1"/>
  <c r="T42" i="1"/>
  <c r="I46" i="1"/>
  <c r="H46" i="1"/>
  <c r="J46" i="1"/>
  <c r="C198" i="1"/>
  <c r="D198" i="1"/>
  <c r="T41" i="1"/>
  <c r="D121" i="1"/>
  <c r="C121" i="1"/>
  <c r="I45" i="1"/>
  <c r="H45" i="1"/>
  <c r="J45" i="1"/>
  <c r="C199" i="1"/>
  <c r="D199" i="1"/>
  <c r="T40" i="1"/>
  <c r="H44" i="1"/>
  <c r="I44" i="1"/>
  <c r="J44" i="1"/>
  <c r="C200" i="1"/>
  <c r="D200" i="1"/>
  <c r="T39" i="1"/>
  <c r="I43" i="1"/>
  <c r="H43" i="1"/>
  <c r="J43" i="1"/>
  <c r="C195" i="1"/>
  <c r="D195" i="1"/>
  <c r="T38" i="1"/>
  <c r="D120" i="1"/>
  <c r="C120" i="1"/>
  <c r="I42" i="1"/>
  <c r="H42" i="1"/>
  <c r="J42" i="1"/>
  <c r="C196" i="1"/>
  <c r="D196" i="1"/>
  <c r="T37" i="1"/>
  <c r="H41" i="1"/>
  <c r="I41" i="1"/>
  <c r="J41" i="1"/>
  <c r="C197" i="1"/>
  <c r="D197" i="1"/>
  <c r="T36" i="1"/>
  <c r="I40" i="1"/>
  <c r="H40" i="1"/>
  <c r="J40" i="1"/>
  <c r="I39" i="1"/>
  <c r="C177" i="1"/>
  <c r="D177" i="1"/>
  <c r="D176" i="1"/>
  <c r="T35" i="1"/>
  <c r="H39" i="1"/>
  <c r="J39" i="1"/>
  <c r="I25" i="1"/>
  <c r="D112" i="1"/>
  <c r="D110" i="1"/>
  <c r="D113" i="1"/>
  <c r="C112" i="1"/>
  <c r="C110" i="1"/>
  <c r="C113" i="1"/>
  <c r="E112" i="1"/>
  <c r="E110" i="1"/>
  <c r="E113" i="1"/>
  <c r="C114" i="1"/>
  <c r="I38" i="1"/>
  <c r="C166" i="1"/>
  <c r="C167" i="1"/>
  <c r="C170" i="1"/>
  <c r="C174" i="1"/>
  <c r="C168" i="1"/>
  <c r="C172" i="1"/>
  <c r="C175" i="1"/>
  <c r="T34" i="1"/>
  <c r="H38" i="1"/>
  <c r="J38" i="1"/>
  <c r="C176" i="1"/>
  <c r="C178" i="1"/>
  <c r="D178" i="1"/>
  <c r="T33" i="1"/>
  <c r="I37" i="1"/>
  <c r="H37" i="1"/>
  <c r="J37" i="1"/>
  <c r="C179" i="1"/>
  <c r="D179" i="1"/>
  <c r="T32" i="1"/>
  <c r="C109" i="1"/>
  <c r="I36" i="1"/>
  <c r="H36" i="1"/>
  <c r="J36" i="1"/>
  <c r="I35" i="1"/>
  <c r="T31" i="1"/>
  <c r="H35" i="1"/>
  <c r="J35" i="1"/>
  <c r="I21" i="1"/>
  <c r="C101" i="1"/>
  <c r="I22" i="1"/>
  <c r="I20" i="1"/>
  <c r="C80" i="1"/>
  <c r="D81" i="1"/>
  <c r="I13" i="1"/>
  <c r="I19" i="1"/>
  <c r="I18" i="1"/>
  <c r="A1" i="3"/>
  <c r="B1" i="3"/>
  <c r="A2" i="3"/>
  <c r="B2" i="3"/>
  <c r="A3" i="3"/>
  <c r="B3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I31" i="1"/>
  <c r="I33" i="1"/>
  <c r="I28" i="1"/>
  <c r="I34" i="1"/>
  <c r="C180" i="1"/>
  <c r="C157" i="1"/>
  <c r="C158" i="1"/>
  <c r="C181" i="1"/>
  <c r="C183" i="1"/>
  <c r="D180" i="1"/>
  <c r="D157" i="1"/>
  <c r="D158" i="1"/>
  <c r="D181" i="1"/>
  <c r="D183" i="1"/>
  <c r="T28" i="1"/>
  <c r="C182" i="1"/>
  <c r="D182" i="1"/>
  <c r="T25" i="1"/>
  <c r="T24" i="1"/>
  <c r="T30" i="1"/>
  <c r="H34" i="1"/>
  <c r="J34" i="1"/>
  <c r="H33" i="1"/>
  <c r="J33" i="1"/>
  <c r="I32" i="1"/>
  <c r="J32" i="1"/>
  <c r="J31" i="1"/>
  <c r="I29" i="1"/>
  <c r="I30" i="1"/>
  <c r="T26" i="1"/>
  <c r="H30" i="1"/>
  <c r="J30" i="1"/>
  <c r="H29" i="1"/>
  <c r="J29" i="1"/>
  <c r="H28" i="1"/>
  <c r="J28" i="1"/>
  <c r="I27" i="1"/>
  <c r="T23" i="1"/>
  <c r="H27" i="1"/>
  <c r="J27" i="1"/>
  <c r="I26" i="1"/>
  <c r="T22" i="1"/>
  <c r="H26" i="1"/>
  <c r="J26" i="1"/>
  <c r="C159" i="1"/>
  <c r="D159" i="1"/>
  <c r="T21" i="1"/>
  <c r="H25" i="1"/>
  <c r="J25" i="1"/>
  <c r="I24" i="1"/>
  <c r="T20" i="1"/>
  <c r="H24" i="1"/>
  <c r="J24" i="1"/>
  <c r="T19" i="1"/>
  <c r="I23" i="1"/>
  <c r="H23" i="1"/>
  <c r="J23" i="1"/>
  <c r="H22" i="1"/>
  <c r="J22" i="1"/>
  <c r="H21" i="1"/>
  <c r="J21" i="1"/>
  <c r="H20" i="1"/>
  <c r="J20" i="1"/>
  <c r="H19" i="1"/>
  <c r="J19" i="1"/>
  <c r="J18" i="1"/>
  <c r="I17" i="1"/>
  <c r="T13" i="1"/>
  <c r="H17" i="1"/>
  <c r="J17" i="1"/>
  <c r="I16" i="1"/>
  <c r="T12" i="1"/>
  <c r="H16" i="1"/>
  <c r="J16" i="1"/>
  <c r="I15" i="1"/>
  <c r="T11" i="1"/>
  <c r="H15" i="1"/>
  <c r="J15" i="1"/>
  <c r="I14" i="1"/>
  <c r="T10" i="1"/>
  <c r="H14" i="1"/>
  <c r="J14" i="1"/>
  <c r="H13" i="1"/>
  <c r="J13" i="1"/>
  <c r="G110" i="1"/>
  <c r="G109" i="1"/>
  <c r="D205" i="1"/>
  <c r="H205" i="1"/>
  <c r="F191" i="1"/>
  <c r="F192" i="1"/>
  <c r="H206" i="1"/>
  <c r="H204" i="1"/>
  <c r="H207" i="1"/>
  <c r="G205" i="1"/>
  <c r="G206" i="1"/>
  <c r="G204" i="1"/>
  <c r="G207" i="1"/>
  <c r="F194" i="1"/>
  <c r="F205" i="1"/>
  <c r="F206" i="1"/>
  <c r="F204" i="1"/>
  <c r="F207" i="1"/>
  <c r="D170" i="1"/>
  <c r="D174" i="1"/>
  <c r="D151" i="1"/>
  <c r="H156" i="1"/>
  <c r="G156" i="1"/>
  <c r="C171" i="1"/>
  <c r="E90" i="1"/>
  <c r="E88" i="1"/>
  <c r="E91" i="1"/>
  <c r="D90" i="1"/>
  <c r="G155" i="1"/>
  <c r="G95" i="1"/>
  <c r="F209" i="1"/>
  <c r="F210" i="1"/>
  <c r="F211" i="1"/>
  <c r="F212" i="1"/>
  <c r="F214" i="1"/>
  <c r="F193" i="1"/>
  <c r="F208" i="1"/>
  <c r="F213" i="1"/>
  <c r="G75" i="1"/>
  <c r="F145" i="1"/>
  <c r="F148" i="1"/>
  <c r="F147" i="1"/>
  <c r="F146" i="1"/>
  <c r="F149" i="1"/>
  <c r="F152" i="1"/>
  <c r="F153" i="1"/>
  <c r="F154" i="1"/>
  <c r="F155" i="1"/>
  <c r="H155" i="1"/>
  <c r="F156" i="1"/>
  <c r="F165" i="1"/>
  <c r="F167" i="1"/>
  <c r="F166" i="1"/>
  <c r="F168" i="1"/>
  <c r="F172" i="1"/>
  <c r="F177" i="1"/>
  <c r="F176" i="1"/>
  <c r="F178" i="1"/>
  <c r="F179" i="1"/>
  <c r="F180" i="1"/>
  <c r="F157" i="1"/>
  <c r="F158" i="1"/>
  <c r="F181" i="1"/>
  <c r="F183" i="1"/>
  <c r="H179" i="1"/>
  <c r="H180" i="1"/>
  <c r="H183" i="1"/>
  <c r="F182" i="1"/>
  <c r="G76" i="1"/>
  <c r="F195" i="1"/>
  <c r="F196" i="1"/>
  <c r="F197" i="1"/>
  <c r="H195" i="1"/>
  <c r="H196" i="1"/>
  <c r="H197" i="1"/>
  <c r="F198" i="1"/>
  <c r="F199" i="1"/>
  <c r="F200" i="1"/>
  <c r="H198" i="1"/>
  <c r="H199" i="1"/>
  <c r="H200" i="1"/>
  <c r="F202" i="1"/>
  <c r="F201" i="1"/>
  <c r="F203" i="1"/>
  <c r="H202" i="1"/>
  <c r="H201" i="1"/>
  <c r="H203" i="1"/>
  <c r="H209" i="1"/>
  <c r="H208" i="1"/>
  <c r="H210" i="1"/>
  <c r="H211" i="1"/>
  <c r="H212" i="1"/>
  <c r="H213" i="1"/>
  <c r="H214" i="1"/>
  <c r="D24" i="1"/>
  <c r="G209" i="1"/>
  <c r="G210" i="1"/>
  <c r="G211" i="1"/>
  <c r="G212" i="1"/>
  <c r="G214" i="1"/>
  <c r="G208" i="1"/>
  <c r="G213" i="1"/>
  <c r="G201" i="1"/>
  <c r="G202" i="1"/>
  <c r="G203" i="1"/>
  <c r="G198" i="1"/>
  <c r="G199" i="1"/>
  <c r="G200" i="1"/>
  <c r="G195" i="1"/>
  <c r="G196" i="1"/>
  <c r="G197" i="1"/>
  <c r="H184" i="1"/>
  <c r="G179" i="1"/>
  <c r="G180" i="1"/>
  <c r="G183" i="1"/>
  <c r="G184" i="1"/>
  <c r="F184" i="1"/>
  <c r="D184" i="1"/>
  <c r="C184" i="1"/>
  <c r="D169" i="1"/>
  <c r="D173" i="1"/>
  <c r="C169" i="1"/>
  <c r="C173" i="1"/>
  <c r="D165" i="1"/>
  <c r="C165" i="1"/>
  <c r="D150" i="1"/>
  <c r="C150" i="1"/>
  <c r="E111" i="1"/>
  <c r="D111" i="1"/>
  <c r="C111" i="1"/>
  <c r="C95" i="1"/>
  <c r="E93" i="1"/>
  <c r="G90" i="1"/>
  <c r="D77" i="1"/>
  <c r="E89" i="1"/>
  <c r="D89" i="1"/>
  <c r="C77" i="1"/>
  <c r="C89" i="1"/>
  <c r="I88" i="1"/>
  <c r="E81" i="1"/>
  <c r="L24" i="1"/>
  <c r="L26" i="1"/>
</calcChain>
</file>

<file path=xl/sharedStrings.xml><?xml version="1.0" encoding="utf-8"?>
<sst xmlns="http://schemas.openxmlformats.org/spreadsheetml/2006/main" count="426" uniqueCount="239">
  <si>
    <t>CMS</t>
  </si>
  <si>
    <t>kg</t>
  </si>
  <si>
    <t>EEmax</t>
  </si>
  <si>
    <t>NDT</t>
  </si>
  <si>
    <t>Mcal</t>
  </si>
  <si>
    <t>EMm</t>
  </si>
  <si>
    <t>EMg</t>
  </si>
  <si>
    <t>ELm</t>
  </si>
  <si>
    <t>km</t>
  </si>
  <si>
    <t>%</t>
  </si>
  <si>
    <t/>
  </si>
  <si>
    <t>PB</t>
  </si>
  <si>
    <t>g</t>
  </si>
  <si>
    <t>PB usada na formula da PBmic</t>
  </si>
  <si>
    <t>PDR</t>
  </si>
  <si>
    <t>PBmic</t>
  </si>
  <si>
    <t>PNDR</t>
  </si>
  <si>
    <t>PMm</t>
  </si>
  <si>
    <t>PMg</t>
  </si>
  <si>
    <t>PLg</t>
  </si>
  <si>
    <t>k</t>
  </si>
  <si>
    <t>Ca</t>
  </si>
  <si>
    <t>Cam</t>
  </si>
  <si>
    <t>Cag</t>
  </si>
  <si>
    <t>P</t>
  </si>
  <si>
    <t>Pm</t>
  </si>
  <si>
    <t>Pedro Del Bianco Benedeti</t>
  </si>
  <si>
    <t>Pg</t>
  </si>
  <si>
    <t>Laura Franco Prados</t>
  </si>
  <si>
    <t>Mg</t>
  </si>
  <si>
    <t>Luiz Fernando Costa e Silva</t>
  </si>
  <si>
    <t>Mgm</t>
  </si>
  <si>
    <t>Sebastião de Campos Valadares Filho</t>
  </si>
  <si>
    <t>Mgg</t>
  </si>
  <si>
    <t>K</t>
  </si>
  <si>
    <t>Km</t>
  </si>
  <si>
    <t>Kg</t>
  </si>
  <si>
    <t>Na</t>
  </si>
  <si>
    <t>Nam</t>
  </si>
  <si>
    <t>Nag</t>
  </si>
  <si>
    <t>S</t>
  </si>
  <si>
    <t>Co</t>
  </si>
  <si>
    <t>mg</t>
  </si>
  <si>
    <t>INCT - Ciência Animal</t>
  </si>
  <si>
    <t>Cu</t>
  </si>
  <si>
    <t>CNPq</t>
  </si>
  <si>
    <t>I</t>
  </si>
  <si>
    <t>CAPES</t>
  </si>
  <si>
    <t>Fe</t>
  </si>
  <si>
    <t>FAPEMIG</t>
  </si>
  <si>
    <t>Mn</t>
  </si>
  <si>
    <t>Se</t>
  </si>
  <si>
    <t>Zn</t>
  </si>
  <si>
    <t>PCJ</t>
  </si>
  <si>
    <t>PCVZ</t>
  </si>
  <si>
    <t>GPCVZ</t>
  </si>
  <si>
    <t>PCVZeq</t>
  </si>
  <si>
    <t>PCVZ, Machos nao castrados</t>
  </si>
  <si>
    <t>PCVZ, Machos castrados</t>
  </si>
  <si>
    <t>PCVZ, Femeas</t>
  </si>
  <si>
    <t>PCVZ dependendo do sexo</t>
  </si>
  <si>
    <t>ENERGIA</t>
  </si>
  <si>
    <t>PCVZeq, Machos nao castrados</t>
  </si>
  <si>
    <t>Elg</t>
  </si>
  <si>
    <t>PCVZeq, Machos castrados</t>
  </si>
  <si>
    <t>ELg dep. da raca</t>
  </si>
  <si>
    <t>PCVZeq, Femeas</t>
  </si>
  <si>
    <t>ERp</t>
  </si>
  <si>
    <t>PCVZeq dependendo do sexo</t>
  </si>
  <si>
    <t>ELg dependendo da raca</t>
  </si>
  <si>
    <t>EMm dependendo da raca</t>
  </si>
  <si>
    <t>km dependendo da raça</t>
  </si>
  <si>
    <t>PROTEINA</t>
  </si>
  <si>
    <t>PLg, Machos nao castrados</t>
  </si>
  <si>
    <t>PLg, Machos castrados</t>
  </si>
  <si>
    <t>PLg, Femeas</t>
  </si>
  <si>
    <t>PLg dependendo do sexo</t>
  </si>
  <si>
    <t>PLg dependendo da raca</t>
  </si>
  <si>
    <t>MINERAIS</t>
  </si>
  <si>
    <t>ELg(m. i.)</t>
  </si>
  <si>
    <t>EMtotal</t>
  </si>
  <si>
    <t>EL dependendo do sexo</t>
  </si>
  <si>
    <t>PROTEÍNA</t>
  </si>
  <si>
    <t>ER</t>
  </si>
  <si>
    <t>ER dependendo do sexo</t>
  </si>
  <si>
    <t>k (PVJ &lt;= 350 kg)</t>
  </si>
  <si>
    <t>k (PVJ &gt; 350 kg)</t>
  </si>
  <si>
    <t>PM total</t>
  </si>
  <si>
    <t>MACROMINERAIS</t>
  </si>
  <si>
    <t>Ca g</t>
  </si>
  <si>
    <t>Ca m</t>
  </si>
  <si>
    <t>Ca TOTAL</t>
  </si>
  <si>
    <t>P g</t>
  </si>
  <si>
    <t>P m</t>
  </si>
  <si>
    <t>P TOTAL</t>
  </si>
  <si>
    <t>Mg g</t>
  </si>
  <si>
    <t>Mg m</t>
  </si>
  <si>
    <t>Mg TOTAL</t>
  </si>
  <si>
    <t>Na g (MI e MC)</t>
  </si>
  <si>
    <t>Na m</t>
  </si>
  <si>
    <t>Na TOTAL</t>
  </si>
  <si>
    <t>K g</t>
  </si>
  <si>
    <t>K (fecal)</t>
  </si>
  <si>
    <t>K (urinária)</t>
  </si>
  <si>
    <t>K (salivar)</t>
  </si>
  <si>
    <t>K (pele)</t>
  </si>
  <si>
    <t>K TOTAL</t>
  </si>
  <si>
    <t>Sidnei Antonio Lopes</t>
  </si>
  <si>
    <t>Item</t>
  </si>
  <si>
    <t>Abbreviation</t>
  </si>
  <si>
    <t>Units</t>
  </si>
  <si>
    <t>BR-CORTE 2010</t>
  </si>
  <si>
    <t>BR-CORTE 2016</t>
  </si>
  <si>
    <t>Dry matter intake</t>
  </si>
  <si>
    <t>Ether extract - max</t>
  </si>
  <si>
    <t>Nonfiber carbohydrates - max</t>
  </si>
  <si>
    <t>Neutral detergent fiber - max</t>
  </si>
  <si>
    <t>Neutral detergent fiber - min</t>
  </si>
  <si>
    <t>Total digestible nutrients requirements</t>
  </si>
  <si>
    <t>Digestible energy</t>
  </si>
  <si>
    <t>Metabolizable energy (Total)</t>
  </si>
  <si>
    <t>Metabolizable energy (Maintenace)</t>
  </si>
  <si>
    <t>Metabolizable energy (Gain)</t>
  </si>
  <si>
    <t>Net energy (Total)</t>
  </si>
  <si>
    <t>Net energy (Maintenance)</t>
  </si>
  <si>
    <t>Net energy (Gain)</t>
  </si>
  <si>
    <t>Efficiency of ME utilization for maintenance</t>
  </si>
  <si>
    <t>Efficiency of ME utilization for gain</t>
  </si>
  <si>
    <t>Crude protein</t>
  </si>
  <si>
    <t>Ruminally degradable protein</t>
  </si>
  <si>
    <t>Microbial crude protein</t>
  </si>
  <si>
    <t>Microbial efficiency</t>
  </si>
  <si>
    <t>g/ kg TDN</t>
  </si>
  <si>
    <t>% CP</t>
  </si>
  <si>
    <t>Ruminally undegradable protein</t>
  </si>
  <si>
    <t>RUP</t>
  </si>
  <si>
    <t>Metabolizable protein (Total)</t>
  </si>
  <si>
    <t>MP</t>
  </si>
  <si>
    <t>Metabolizable protein (Maintenance)</t>
  </si>
  <si>
    <t>MPm</t>
  </si>
  <si>
    <t>Metabolizable protein (Gain)</t>
  </si>
  <si>
    <t>MPg</t>
  </si>
  <si>
    <t>Net protein (Gain)</t>
  </si>
  <si>
    <t>NPg</t>
  </si>
  <si>
    <t>Efficiency of MP utilization for gain</t>
  </si>
  <si>
    <t>Calcium (Total)</t>
  </si>
  <si>
    <t>Calcium (Maintenance)</t>
  </si>
  <si>
    <t>Calcium (Gain)</t>
  </si>
  <si>
    <t>Phosphorus (Total)</t>
  </si>
  <si>
    <t>Phosphorus (Maintenance)</t>
  </si>
  <si>
    <t>Phosphorus (Gain)</t>
  </si>
  <si>
    <t>Magnesium (Total)</t>
  </si>
  <si>
    <t>Magnesium (Maintenance)</t>
  </si>
  <si>
    <t>Magnesium (Gain)</t>
  </si>
  <si>
    <t>Potassium (Total)</t>
  </si>
  <si>
    <t>Potassium (Maintenance)</t>
  </si>
  <si>
    <t>Potassium (Gain)</t>
  </si>
  <si>
    <t>Sodium (Total)</t>
  </si>
  <si>
    <t>Sodium (Maintenance)</t>
  </si>
  <si>
    <t>Sodium (Gain)</t>
  </si>
  <si>
    <t>Sulfur</t>
  </si>
  <si>
    <t>Cobalt</t>
  </si>
  <si>
    <t>Copper</t>
  </si>
  <si>
    <t>Iodine</t>
  </si>
  <si>
    <t>Iron</t>
  </si>
  <si>
    <t>Manganese</t>
  </si>
  <si>
    <t>Selenium</t>
  </si>
  <si>
    <t>Zinc</t>
  </si>
  <si>
    <t>Shrunk body weight</t>
  </si>
  <si>
    <t>SBW</t>
  </si>
  <si>
    <t>Empt body weight</t>
  </si>
  <si>
    <t>EBW</t>
  </si>
  <si>
    <t>Shrunk weight gain</t>
  </si>
  <si>
    <t>SWG</t>
  </si>
  <si>
    <t>Equivalent shrunk body weight</t>
  </si>
  <si>
    <t>EQSBW</t>
  </si>
  <si>
    <t>DMI</t>
  </si>
  <si>
    <t>NFCmax</t>
  </si>
  <si>
    <t>NDFmax</t>
  </si>
  <si>
    <t>NDFmin</t>
  </si>
  <si>
    <t>TDN</t>
  </si>
  <si>
    <t>DE</t>
  </si>
  <si>
    <t>ME</t>
  </si>
  <si>
    <t>MEm</t>
  </si>
  <si>
    <t>MEg</t>
  </si>
  <si>
    <t>NE</t>
  </si>
  <si>
    <t>NEm</t>
  </si>
  <si>
    <t>NEg</t>
  </si>
  <si>
    <t>CP</t>
  </si>
  <si>
    <t>RDP</t>
  </si>
  <si>
    <t>MCP</t>
  </si>
  <si>
    <t>Mic.Eff.</t>
  </si>
  <si>
    <t>Breed</t>
  </si>
  <si>
    <t>Sex class</t>
  </si>
  <si>
    <t>Beef production system</t>
  </si>
  <si>
    <t>Initial body weight, kg</t>
  </si>
  <si>
    <t>Final body weight, kg</t>
  </si>
  <si>
    <t>Average body weight, kg</t>
  </si>
  <si>
    <t>AUTHORS AND CITATION</t>
  </si>
  <si>
    <t>Authors:</t>
  </si>
  <si>
    <t>Citation</t>
  </si>
  <si>
    <t>Support:</t>
  </si>
  <si>
    <t>Zebu</t>
  </si>
  <si>
    <t>Zebu INTEIRO</t>
  </si>
  <si>
    <t>Zebu out.</t>
  </si>
  <si>
    <t>BR-Beef 2010</t>
  </si>
  <si>
    <t>Beef</t>
  </si>
  <si>
    <t>BRBeef 2016</t>
  </si>
  <si>
    <t xml:space="preserve">Beef </t>
  </si>
  <si>
    <t>BRBeef 2010</t>
  </si>
  <si>
    <t>Dairy</t>
  </si>
  <si>
    <t>Bull</t>
  </si>
  <si>
    <t>ELg (Bull)</t>
  </si>
  <si>
    <t>ER (Bull)</t>
  </si>
  <si>
    <t>PLg (Bull)</t>
  </si>
  <si>
    <t>Steer</t>
  </si>
  <si>
    <t>ELg (Steer)</t>
  </si>
  <si>
    <t>ER (Steer)</t>
  </si>
  <si>
    <t>PLg (Steer)</t>
  </si>
  <si>
    <t>Heifer</t>
  </si>
  <si>
    <t>ELg (Heifers)</t>
  </si>
  <si>
    <t>ER (Heifers)</t>
  </si>
  <si>
    <t>PLg (Heifers)</t>
  </si>
  <si>
    <t>Na g (Heifer)</t>
  </si>
  <si>
    <t>Average daily gain, kg/day</t>
  </si>
  <si>
    <t>Pasture</t>
  </si>
  <si>
    <t>Feedlot</t>
  </si>
  <si>
    <t>Crossbreed</t>
  </si>
  <si>
    <t>Spreadsheet for growing and finishing cattle nutrient requirements calculation (BR-CORTE 2010 and BR-CORTE 2016)</t>
  </si>
  <si>
    <t>BENEDETI, P.D.B., PRADOS, L.F., COSTA E SILVA, L.F., LOPES, S.A., VALADARES FILHO, S.C. Spreadsheet for growing and finishing cattle nutrient requirements calculation (BR-CORTE 2010 and BR-CORTE 2016). 2016. Available on www.brcorte.com.br. Accessed…</t>
  </si>
  <si>
    <t>DAILY REQUIREMENTS</t>
  </si>
  <si>
    <t>DATA INPUT</t>
  </si>
  <si>
    <t>Chromium</t>
  </si>
  <si>
    <t>Cr</t>
  </si>
  <si>
    <t>Molybdenum</t>
  </si>
  <si>
    <t>Mo</t>
  </si>
  <si>
    <t>-</t>
  </si>
  <si>
    <t>V 1.01</t>
  </si>
  <si>
    <t>Variation,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</si>
</sst>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0"/>
    <numFmt numFmtId="167" formatCode="[$R$ -416]#,##0.00"/>
  </numFmts>
  <fonts count="21" x14ac:knownFonts="1">
    <font>
      <sz val="11"/>
      <color rgb="FF000000"/>
      <name val="Calibri"/>
    </font>
    <font>
      <sz val="11"/>
      <name val="Calibri"/>
    </font>
    <font>
      <sz val="8"/>
      <name val="Calibri"/>
    </font>
    <font>
      <sz val="11"/>
      <color theme="1"/>
      <name val="Times New Roman"/>
    </font>
    <font>
      <sz val="10"/>
      <color theme="1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b/>
      <sz val="18"/>
      <color theme="1"/>
      <name val="Times New Roman"/>
    </font>
    <font>
      <b/>
      <sz val="14"/>
      <color theme="1"/>
      <name val="Times New Roman"/>
    </font>
    <font>
      <b/>
      <sz val="16"/>
      <color theme="1"/>
      <name val="Times New Roman"/>
    </font>
    <font>
      <sz val="16"/>
      <color theme="1"/>
      <name val="Times New Roman"/>
    </font>
    <font>
      <sz val="14"/>
      <color theme="1"/>
      <name val="Times New Roman"/>
    </font>
    <font>
      <sz val="12"/>
      <color theme="0"/>
      <name val="Times New Roman"/>
    </font>
    <font>
      <sz val="11"/>
      <color theme="0"/>
      <name val="Times New Roman"/>
    </font>
    <font>
      <b/>
      <sz val="18"/>
      <color theme="0"/>
      <name val="Times New Roman"/>
    </font>
    <font>
      <sz val="9"/>
      <color theme="0"/>
      <name val="Times New Roman"/>
    </font>
    <font>
      <b/>
      <sz val="9"/>
      <color theme="0"/>
      <name val="Times New Roman"/>
    </font>
    <font>
      <sz val="10"/>
      <color theme="0"/>
      <name val="Times New Roman"/>
    </font>
    <font>
      <sz val="18"/>
      <color theme="0"/>
      <name val="Times New Roman"/>
    </font>
    <font>
      <sz val="18"/>
      <color theme="1"/>
      <name val="Times New Roman"/>
    </font>
    <font>
      <b/>
      <sz val="27"/>
      <color theme="1"/>
      <name val="Times New Roman"/>
    </font>
  </fonts>
  <fills count="8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6D9F0"/>
      </patternFill>
    </fill>
    <fill>
      <patternFill patternType="solid">
        <fgColor theme="4" tint="0.59999389629810485"/>
        <bgColor rgb="FFC6D9F0"/>
      </patternFill>
    </fill>
    <fill>
      <patternFill patternType="solid">
        <fgColor theme="4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108">
    <xf numFmtId="0" fontId="0" fillId="0" borderId="0" xfId="0" applyFont="1" applyAlignment="1"/>
    <xf numFmtId="0" fontId="1" fillId="0" borderId="0" xfId="0" applyFont="1" applyAlignment="1"/>
    <xf numFmtId="0" fontId="3" fillId="3" borderId="0" xfId="0" applyFont="1" applyFill="1" applyBorder="1" applyAlignment="1" applyProtection="1">
      <alignment vertical="center"/>
      <protection hidden="1"/>
    </xf>
    <xf numFmtId="164" fontId="4" fillId="3" borderId="0" xfId="0" applyNumberFormat="1" applyFont="1" applyFill="1" applyBorder="1" applyAlignment="1" applyProtection="1">
      <alignment horizontal="center" vertical="center"/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protection hidden="1"/>
    </xf>
    <xf numFmtId="0" fontId="7" fillId="3" borderId="0" xfId="0" applyFont="1" applyFill="1" applyBorder="1" applyAlignment="1" applyProtection="1">
      <alignment horizontal="center" vertical="center"/>
      <protection hidden="1"/>
    </xf>
    <xf numFmtId="0" fontId="5" fillId="3" borderId="8" xfId="0" applyFont="1" applyFill="1" applyBorder="1" applyAlignment="1" applyProtection="1">
      <alignment horizontal="center" vertical="center"/>
      <protection hidden="1"/>
    </xf>
    <xf numFmtId="164" fontId="5" fillId="3" borderId="8" xfId="0" applyNumberFormat="1" applyFont="1" applyFill="1" applyBorder="1" applyAlignment="1" applyProtection="1">
      <alignment horizontal="center" vertical="center"/>
      <protection hidden="1"/>
    </xf>
    <xf numFmtId="1" fontId="5" fillId="3" borderId="8" xfId="0" applyNumberFormat="1" applyFont="1" applyFill="1" applyBorder="1" applyAlignment="1" applyProtection="1">
      <alignment horizontal="center" vertical="center"/>
      <protection hidden="1"/>
    </xf>
    <xf numFmtId="0" fontId="6" fillId="3" borderId="15" xfId="0" applyFont="1" applyFill="1" applyBorder="1" applyAlignment="1" applyProtection="1">
      <alignment vertical="center"/>
      <protection hidden="1"/>
    </xf>
    <xf numFmtId="0" fontId="5" fillId="3" borderId="16" xfId="0" applyFont="1" applyFill="1" applyBorder="1" applyAlignment="1" applyProtection="1">
      <alignment vertical="center"/>
      <protection hidden="1"/>
    </xf>
    <xf numFmtId="0" fontId="5" fillId="3" borderId="17" xfId="0" applyFont="1" applyFill="1" applyBorder="1" applyAlignment="1" applyProtection="1">
      <alignment vertical="center"/>
      <protection hidden="1"/>
    </xf>
    <xf numFmtId="0" fontId="5" fillId="3" borderId="18" xfId="0" applyFont="1" applyFill="1" applyBorder="1" applyAlignment="1" applyProtection="1">
      <alignment vertical="center"/>
      <protection hidden="1"/>
    </xf>
    <xf numFmtId="165" fontId="5" fillId="5" borderId="8" xfId="0" applyNumberFormat="1" applyFont="1" applyFill="1" applyBorder="1" applyAlignment="1" applyProtection="1">
      <alignment horizontal="center" vertical="center"/>
      <protection hidden="1"/>
    </xf>
    <xf numFmtId="0" fontId="6" fillId="3" borderId="17" xfId="0" applyFont="1" applyFill="1" applyBorder="1" applyAlignment="1" applyProtection="1">
      <alignment vertical="center"/>
      <protection hidden="1"/>
    </xf>
    <xf numFmtId="0" fontId="5" fillId="3" borderId="19" xfId="0" applyFont="1" applyFill="1" applyBorder="1" applyAlignment="1" applyProtection="1">
      <alignment vertical="center"/>
      <protection hidden="1"/>
    </xf>
    <xf numFmtId="0" fontId="5" fillId="3" borderId="20" xfId="0" applyFont="1" applyFill="1" applyBorder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" fillId="4" borderId="17" xfId="0" applyFont="1" applyFill="1" applyBorder="1" applyAlignment="1" applyProtection="1">
      <alignment vertical="center"/>
      <protection hidden="1"/>
    </xf>
    <xf numFmtId="0" fontId="5" fillId="4" borderId="18" xfId="0" applyFont="1" applyFill="1" applyBorder="1" applyAlignment="1" applyProtection="1">
      <alignment vertical="center"/>
      <protection hidden="1"/>
    </xf>
    <xf numFmtId="1" fontId="11" fillId="3" borderId="12" xfId="0" applyNumberFormat="1" applyFont="1" applyFill="1" applyBorder="1" applyAlignment="1" applyProtection="1">
      <alignment horizontal="center" vertical="center"/>
      <protection hidden="1"/>
    </xf>
    <xf numFmtId="0" fontId="13" fillId="3" borderId="0" xfId="0" applyFont="1" applyFill="1" applyBorder="1" applyAlignment="1" applyProtection="1">
      <alignment vertical="center"/>
      <protection hidden="1"/>
    </xf>
    <xf numFmtId="0" fontId="14" fillId="3" borderId="0" xfId="0" applyFont="1" applyFill="1" applyBorder="1" applyAlignment="1" applyProtection="1">
      <alignment horizontal="center" vertical="center"/>
      <protection hidden="1"/>
    </xf>
    <xf numFmtId="0" fontId="13" fillId="3" borderId="0" xfId="0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Border="1" applyAlignment="1" applyProtection="1">
      <alignment horizontal="center" vertical="center"/>
      <protection hidden="1"/>
    </xf>
    <xf numFmtId="0" fontId="13" fillId="4" borderId="0" xfId="0" applyFont="1" applyFill="1" applyAlignment="1" applyProtection="1">
      <protection hidden="1"/>
    </xf>
    <xf numFmtId="0" fontId="13" fillId="4" borderId="0" xfId="0" applyFont="1" applyFill="1" applyAlignment="1" applyProtection="1">
      <alignment vertical="center"/>
      <protection hidden="1"/>
    </xf>
    <xf numFmtId="0" fontId="15" fillId="3" borderId="0" xfId="0" applyFont="1" applyFill="1" applyBorder="1" applyAlignment="1" applyProtection="1">
      <alignment vertical="center"/>
      <protection hidden="1"/>
    </xf>
    <xf numFmtId="0" fontId="16" fillId="3" borderId="0" xfId="0" applyFont="1" applyFill="1" applyBorder="1" applyAlignment="1" applyProtection="1">
      <alignment vertical="center"/>
      <protection hidden="1"/>
    </xf>
    <xf numFmtId="164" fontId="17" fillId="3" borderId="0" xfId="0" applyNumberFormat="1" applyFont="1" applyFill="1" applyBorder="1" applyAlignment="1" applyProtection="1">
      <alignment horizontal="right" vertical="center"/>
      <protection hidden="1"/>
    </xf>
    <xf numFmtId="166" fontId="12" fillId="3" borderId="0" xfId="0" applyNumberFormat="1" applyFont="1" applyFill="1" applyBorder="1" applyAlignment="1" applyProtection="1">
      <alignment horizontal="center" vertical="center"/>
      <protection hidden="1"/>
    </xf>
    <xf numFmtId="166" fontId="15" fillId="3" borderId="0" xfId="0" applyNumberFormat="1" applyFont="1" applyFill="1" applyBorder="1" applyAlignment="1" applyProtection="1">
      <alignment vertical="center"/>
      <protection hidden="1"/>
    </xf>
    <xf numFmtId="2" fontId="15" fillId="3" borderId="0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vertical="center"/>
      <protection hidden="1"/>
    </xf>
    <xf numFmtId="0" fontId="18" fillId="4" borderId="0" xfId="0" applyFont="1" applyFill="1" applyAlignment="1" applyProtection="1">
      <protection hidden="1"/>
    </xf>
    <xf numFmtId="0" fontId="18" fillId="3" borderId="0" xfId="0" applyFont="1" applyFill="1" applyBorder="1" applyAlignment="1" applyProtection="1">
      <alignment horizontal="right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center"/>
      <protection hidden="1"/>
    </xf>
    <xf numFmtId="0" fontId="18" fillId="3" borderId="0" xfId="0" applyFont="1" applyFill="1" applyBorder="1" applyAlignment="1" applyProtection="1">
      <alignment horizontal="center" vertical="center" wrapText="1"/>
      <protection hidden="1"/>
    </xf>
    <xf numFmtId="2" fontId="18" fillId="3" borderId="0" xfId="0" applyNumberFormat="1" applyFont="1" applyFill="1" applyBorder="1" applyAlignment="1" applyProtection="1">
      <alignment horizontal="center" vertical="center"/>
      <protection hidden="1"/>
    </xf>
    <xf numFmtId="167" fontId="18" fillId="3" borderId="0" xfId="0" applyNumberFormat="1" applyFont="1" applyFill="1" applyBorder="1" applyAlignment="1" applyProtection="1">
      <alignment horizontal="center" vertical="center"/>
      <protection hidden="1"/>
    </xf>
    <xf numFmtId="164" fontId="18" fillId="3" borderId="0" xfId="0" applyNumberFormat="1" applyFont="1" applyFill="1" applyBorder="1" applyAlignment="1" applyProtection="1">
      <alignment horizontal="center" vertical="center"/>
      <protection hidden="1"/>
    </xf>
    <xf numFmtId="165" fontId="18" fillId="3" borderId="0" xfId="0" applyNumberFormat="1" applyFont="1" applyFill="1" applyBorder="1" applyAlignment="1" applyProtection="1">
      <alignment horizontal="center" vertical="center"/>
      <protection hidden="1"/>
    </xf>
    <xf numFmtId="164" fontId="18" fillId="3" borderId="0" xfId="0" applyNumberFormat="1" applyFont="1" applyFill="1" applyBorder="1" applyAlignment="1" applyProtection="1">
      <alignment horizontal="right" vertical="center"/>
      <protection hidden="1"/>
    </xf>
    <xf numFmtId="0" fontId="18" fillId="3" borderId="0" xfId="0" applyFont="1" applyFill="1" applyBorder="1" applyAlignment="1" applyProtection="1">
      <alignment horizontal="left" vertical="center"/>
      <protection hidden="1"/>
    </xf>
    <xf numFmtId="2" fontId="18" fillId="3" borderId="0" xfId="0" applyNumberFormat="1" applyFont="1" applyFill="1" applyBorder="1" applyAlignment="1" applyProtection="1">
      <alignment horizontal="left" vertical="center"/>
      <protection hidden="1"/>
    </xf>
    <xf numFmtId="1" fontId="18" fillId="3" borderId="0" xfId="0" applyNumberFormat="1" applyFont="1" applyFill="1" applyBorder="1" applyAlignment="1" applyProtection="1">
      <alignment horizontal="left" vertical="center"/>
      <protection hidden="1"/>
    </xf>
    <xf numFmtId="0" fontId="14" fillId="3" borderId="0" xfId="0" applyFont="1" applyFill="1" applyBorder="1" applyAlignment="1" applyProtection="1">
      <alignment horizontal="right" vertical="center"/>
      <protection hidden="1"/>
    </xf>
    <xf numFmtId="0" fontId="8" fillId="6" borderId="7" xfId="0" applyFont="1" applyFill="1" applyBorder="1" applyAlignment="1" applyProtection="1">
      <alignment horizontal="center" vertical="center"/>
      <protection hidden="1"/>
    </xf>
    <xf numFmtId="2" fontId="8" fillId="6" borderId="7" xfId="0" applyNumberFormat="1" applyFont="1" applyFill="1" applyBorder="1" applyAlignment="1" applyProtection="1">
      <alignment horizontal="center" vertical="center"/>
      <protection hidden="1"/>
    </xf>
    <xf numFmtId="2" fontId="8" fillId="6" borderId="8" xfId="0" applyNumberFormat="1" applyFont="1" applyFill="1" applyBorder="1" applyAlignment="1" applyProtection="1">
      <alignment horizontal="center" vertical="center"/>
      <protection hidden="1"/>
    </xf>
    <xf numFmtId="165" fontId="8" fillId="6" borderId="8" xfId="0" applyNumberFormat="1" applyFont="1" applyFill="1" applyBorder="1" applyAlignment="1" applyProtection="1">
      <alignment horizontal="center" vertical="center"/>
      <protection hidden="1"/>
    </xf>
    <xf numFmtId="0" fontId="8" fillId="3" borderId="8" xfId="0" applyFont="1" applyFill="1" applyBorder="1" applyAlignment="1" applyProtection="1">
      <alignment horizontal="center" vertical="center"/>
      <protection hidden="1"/>
    </xf>
    <xf numFmtId="165" fontId="8" fillId="5" borderId="8" xfId="0" applyNumberFormat="1" applyFont="1" applyFill="1" applyBorder="1" applyAlignment="1" applyProtection="1">
      <alignment horizontal="center" vertical="center"/>
      <protection hidden="1"/>
    </xf>
    <xf numFmtId="0" fontId="9" fillId="3" borderId="4" xfId="0" applyFont="1" applyFill="1" applyBorder="1" applyAlignment="1" applyProtection="1">
      <alignment horizontal="left" vertical="center"/>
      <protection hidden="1"/>
    </xf>
    <xf numFmtId="0" fontId="9" fillId="3" borderId="5" xfId="0" applyFont="1" applyFill="1" applyBorder="1" applyAlignment="1" applyProtection="1">
      <alignment horizontal="center" vertical="center"/>
      <protection hidden="1"/>
    </xf>
    <xf numFmtId="164" fontId="9" fillId="3" borderId="6" xfId="0" applyNumberFormat="1" applyFont="1" applyFill="1" applyBorder="1" applyAlignment="1" applyProtection="1">
      <alignment horizontal="center" vertical="center"/>
      <protection hidden="1"/>
    </xf>
    <xf numFmtId="0" fontId="5" fillId="3" borderId="17" xfId="0" applyFont="1" applyFill="1" applyBorder="1" applyAlignment="1" applyProtection="1">
      <alignment vertical="center" wrapText="1"/>
      <protection hidden="1"/>
    </xf>
    <xf numFmtId="0" fontId="5" fillId="3" borderId="18" xfId="0" applyFont="1" applyFill="1" applyBorder="1" applyAlignment="1" applyProtection="1">
      <alignment vertical="center" wrapText="1"/>
      <protection hidden="1"/>
    </xf>
    <xf numFmtId="0" fontId="19" fillId="3" borderId="0" xfId="0" applyFont="1" applyFill="1" applyBorder="1" applyAlignment="1" applyProtection="1">
      <alignment vertical="center"/>
      <protection hidden="1"/>
    </xf>
    <xf numFmtId="0" fontId="19" fillId="3" borderId="0" xfId="0" applyFont="1" applyFill="1" applyBorder="1" applyAlignment="1" applyProtection="1">
      <alignment horizontal="center" vertical="center"/>
      <protection hidden="1"/>
    </xf>
    <xf numFmtId="0" fontId="19" fillId="4" borderId="0" xfId="0" applyFont="1" applyFill="1" applyAlignment="1" applyProtection="1">
      <protection hidden="1"/>
    </xf>
    <xf numFmtId="2" fontId="11" fillId="2" borderId="10" xfId="0" applyNumberFormat="1" applyFont="1" applyFill="1" applyBorder="1" applyAlignment="1" applyProtection="1">
      <alignment horizontal="center" vertical="center"/>
      <protection locked="0"/>
    </xf>
    <xf numFmtId="2" fontId="11" fillId="2" borderId="12" xfId="0" applyNumberFormat="1" applyFont="1" applyFill="1" applyBorder="1" applyAlignment="1" applyProtection="1">
      <alignment horizontal="center" vertical="center"/>
      <protection locked="0"/>
    </xf>
    <xf numFmtId="1" fontId="11" fillId="2" borderId="12" xfId="0" applyNumberFormat="1" applyFont="1" applyFill="1" applyBorder="1" applyAlignment="1" applyProtection="1">
      <alignment horizontal="center" vertical="center"/>
      <protection locked="0"/>
    </xf>
    <xf numFmtId="2" fontId="11" fillId="2" borderId="14" xfId="0" applyNumberFormat="1" applyFont="1" applyFill="1" applyBorder="1" applyAlignment="1" applyProtection="1">
      <alignment horizontal="center" vertical="center"/>
      <protection locked="0"/>
    </xf>
    <xf numFmtId="2" fontId="5" fillId="3" borderId="8" xfId="0" applyNumberFormat="1" applyFont="1" applyFill="1" applyBorder="1" applyAlignment="1" applyProtection="1">
      <alignment horizontal="center" vertical="center"/>
      <protection hidden="1"/>
    </xf>
    <xf numFmtId="2" fontId="8" fillId="3" borderId="8" xfId="0" applyNumberFormat="1" applyFont="1" applyFill="1" applyBorder="1" applyAlignment="1" applyProtection="1">
      <alignment horizontal="center" vertical="center"/>
      <protection hidden="1"/>
    </xf>
    <xf numFmtId="165" fontId="8" fillId="3" borderId="8" xfId="0" applyNumberFormat="1" applyFont="1" applyFill="1" applyBorder="1" applyAlignment="1" applyProtection="1">
      <alignment horizontal="center" vertical="center"/>
      <protection hidden="1"/>
    </xf>
    <xf numFmtId="1" fontId="8" fillId="3" borderId="8" xfId="0" applyNumberFormat="1" applyFont="1" applyFill="1" applyBorder="1" applyAlignment="1" applyProtection="1">
      <alignment horizontal="center" vertical="center"/>
      <protection hidden="1"/>
    </xf>
    <xf numFmtId="165" fontId="5" fillId="3" borderId="8" xfId="0" applyNumberFormat="1" applyFont="1" applyFill="1" applyBorder="1" applyAlignment="1" applyProtection="1">
      <alignment horizontal="center" vertical="center"/>
      <protection hidden="1"/>
    </xf>
    <xf numFmtId="165" fontId="8" fillId="6" borderId="7" xfId="0" applyNumberFormat="1" applyFont="1" applyFill="1" applyBorder="1" applyAlignment="1" applyProtection="1">
      <alignment horizontal="center" vertical="center"/>
      <protection hidden="1"/>
    </xf>
    <xf numFmtId="1" fontId="8" fillId="6" borderId="7" xfId="0" applyNumberFormat="1" applyFont="1" applyFill="1" applyBorder="1" applyAlignment="1" applyProtection="1">
      <alignment horizontal="center" vertical="center"/>
      <protection hidden="1"/>
    </xf>
    <xf numFmtId="1" fontId="8" fillId="6" borderId="8" xfId="0" applyNumberFormat="1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2" fontId="5" fillId="6" borderId="7" xfId="0" applyNumberFormat="1" applyFont="1" applyFill="1" applyBorder="1" applyAlignment="1" applyProtection="1">
      <alignment horizontal="center" vertical="center"/>
      <protection hidden="1"/>
    </xf>
    <xf numFmtId="2" fontId="5" fillId="6" borderId="8" xfId="0" applyNumberFormat="1" applyFont="1" applyFill="1" applyBorder="1" applyAlignment="1" applyProtection="1">
      <alignment horizontal="center" vertical="center"/>
      <protection hidden="1"/>
    </xf>
    <xf numFmtId="165" fontId="5" fillId="6" borderId="8" xfId="0" applyNumberFormat="1" applyFont="1" applyFill="1" applyBorder="1" applyAlignment="1" applyProtection="1">
      <alignment horizontal="center" vertical="center"/>
      <protection hidden="1"/>
    </xf>
    <xf numFmtId="165" fontId="5" fillId="6" borderId="7" xfId="0" applyNumberFormat="1" applyFont="1" applyFill="1" applyBorder="1" applyAlignment="1" applyProtection="1">
      <alignment horizontal="center" vertical="center"/>
      <protection hidden="1"/>
    </xf>
    <xf numFmtId="1" fontId="5" fillId="6" borderId="7" xfId="0" applyNumberFormat="1" applyFont="1" applyFill="1" applyBorder="1" applyAlignment="1" applyProtection="1">
      <alignment horizontal="center" vertical="center"/>
      <protection hidden="1"/>
    </xf>
    <xf numFmtId="1" fontId="5" fillId="6" borderId="8" xfId="0" applyNumberFormat="1" applyFont="1" applyFill="1" applyBorder="1" applyAlignment="1" applyProtection="1">
      <alignment horizontal="center" vertical="center"/>
      <protection hidden="1"/>
    </xf>
    <xf numFmtId="0" fontId="18" fillId="3" borderId="0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Border="1" applyAlignment="1" applyProtection="1">
      <alignment vertical="center"/>
      <protection hidden="1"/>
    </xf>
    <xf numFmtId="0" fontId="8" fillId="6" borderId="7" xfId="0" applyFont="1" applyFill="1" applyBorder="1" applyAlignment="1" applyProtection="1">
      <alignment vertical="center" wrapText="1"/>
      <protection hidden="1"/>
    </xf>
    <xf numFmtId="0" fontId="5" fillId="3" borderId="8" xfId="0" applyFont="1" applyFill="1" applyBorder="1" applyAlignment="1" applyProtection="1">
      <alignment vertical="center"/>
      <protection hidden="1"/>
    </xf>
    <xf numFmtId="0" fontId="5" fillId="6" borderId="7" xfId="0" applyFont="1" applyFill="1" applyBorder="1" applyAlignment="1" applyProtection="1">
      <alignment vertical="center" wrapText="1"/>
      <protection hidden="1"/>
    </xf>
    <xf numFmtId="164" fontId="3" fillId="3" borderId="0" xfId="0" applyNumberFormat="1" applyFont="1" applyFill="1" applyBorder="1" applyAlignment="1" applyProtection="1">
      <alignment vertical="center"/>
      <protection hidden="1"/>
    </xf>
    <xf numFmtId="0" fontId="8" fillId="3" borderId="8" xfId="0" applyFont="1" applyFill="1" applyBorder="1" applyAlignment="1" applyProtection="1">
      <alignment vertical="center"/>
      <protection hidden="1"/>
    </xf>
    <xf numFmtId="0" fontId="11" fillId="3" borderId="11" xfId="0" applyFont="1" applyFill="1" applyBorder="1" applyAlignment="1" applyProtection="1">
      <alignment vertical="center"/>
      <protection hidden="1"/>
    </xf>
    <xf numFmtId="0" fontId="11" fillId="3" borderId="11" xfId="0" applyFont="1" applyFill="1" applyBorder="1" applyAlignment="1" applyProtection="1">
      <alignment horizontal="left" vertical="center"/>
      <protection hidden="1"/>
    </xf>
    <xf numFmtId="0" fontId="11" fillId="3" borderId="13" xfId="0" applyFont="1" applyFill="1" applyBorder="1" applyAlignment="1" applyProtection="1">
      <alignment horizontal="left" vertical="center"/>
      <protection hidden="1"/>
    </xf>
    <xf numFmtId="164" fontId="19" fillId="3" borderId="0" xfId="0" applyNumberFormat="1" applyFont="1" applyFill="1" applyBorder="1" applyAlignment="1" applyProtection="1">
      <alignment horizontal="center" vertical="center"/>
      <protection hidden="1"/>
    </xf>
    <xf numFmtId="1" fontId="8" fillId="5" borderId="8" xfId="0" applyNumberFormat="1" applyFont="1" applyFill="1" applyBorder="1" applyAlignment="1" applyProtection="1">
      <alignment horizontal="center" vertical="center"/>
      <protection hidden="1"/>
    </xf>
    <xf numFmtId="1" fontId="5" fillId="5" borderId="8" xfId="0" applyNumberFormat="1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Border="1" applyAlignment="1" applyProtection="1">
      <alignment horizontal="center" vertical="center" wrapText="1"/>
      <protection hidden="1"/>
    </xf>
    <xf numFmtId="0" fontId="18" fillId="3" borderId="0" xfId="0" applyFont="1" applyFill="1" applyBorder="1" applyAlignment="1" applyProtection="1">
      <alignment horizontal="center" vertical="center"/>
      <protection hidden="1"/>
    </xf>
    <xf numFmtId="0" fontId="18" fillId="4" borderId="0" xfId="0" applyFont="1" applyFill="1" applyBorder="1" applyProtection="1">
      <protection hidden="1"/>
    </xf>
    <xf numFmtId="0" fontId="7" fillId="6" borderId="1" xfId="0" applyFont="1" applyFill="1" applyBorder="1" applyAlignment="1" applyProtection="1">
      <alignment horizontal="center" vertical="center"/>
      <protection hidden="1"/>
    </xf>
    <xf numFmtId="0" fontId="3" fillId="7" borderId="2" xfId="0" applyFont="1" applyFill="1" applyBorder="1" applyAlignment="1" applyProtection="1">
      <alignment vertical="center"/>
      <protection hidden="1"/>
    </xf>
    <xf numFmtId="0" fontId="3" fillId="7" borderId="3" xfId="0" applyFont="1" applyFill="1" applyBorder="1" applyAlignment="1" applyProtection="1">
      <alignment vertical="center"/>
      <protection hidden="1"/>
    </xf>
    <xf numFmtId="0" fontId="9" fillId="3" borderId="0" xfId="0" applyFont="1" applyFill="1" applyBorder="1" applyAlignment="1" applyProtection="1">
      <alignment horizontal="left" vertical="center"/>
      <protection hidden="1"/>
    </xf>
    <xf numFmtId="0" fontId="10" fillId="4" borderId="0" xfId="0" applyFont="1" applyFill="1" applyBorder="1" applyAlignment="1" applyProtection="1">
      <alignment vertical="center"/>
      <protection hidden="1"/>
    </xf>
    <xf numFmtId="0" fontId="11" fillId="3" borderId="9" xfId="0" applyFont="1" applyFill="1" applyBorder="1" applyAlignment="1" applyProtection="1">
      <alignment horizontal="left" vertical="center"/>
      <protection hidden="1"/>
    </xf>
    <xf numFmtId="0" fontId="11" fillId="4" borderId="11" xfId="0" applyFont="1" applyFill="1" applyBorder="1" applyAlignment="1" applyProtection="1">
      <alignment vertical="center"/>
      <protection hidden="1"/>
    </xf>
    <xf numFmtId="0" fontId="3" fillId="4" borderId="0" xfId="0" applyFont="1" applyFill="1" applyBorder="1" applyAlignment="1" applyProtection="1">
      <alignment vertical="center"/>
      <protection hidden="1"/>
    </xf>
    <xf numFmtId="0" fontId="5" fillId="3" borderId="17" xfId="0" applyFont="1" applyFill="1" applyBorder="1" applyAlignment="1" applyProtection="1">
      <alignment horizontal="left" vertical="center" wrapText="1"/>
      <protection hidden="1"/>
    </xf>
    <xf numFmtId="0" fontId="5" fillId="3" borderId="18" xfId="0" applyFont="1" applyFill="1" applyBorder="1" applyAlignment="1" applyProtection="1">
      <alignment horizontal="left" vertical="center" wrapText="1"/>
      <protection hidden="1"/>
    </xf>
  </cellXfs>
  <cellStyles count="1">
    <cellStyle name="Normal" xfId="0" builtinId="0"/>
  </cellStyles>
  <dxfs count="1"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Medium7"/>
  <colors>
    <mruColors>
      <color rgb="FFFFF799"/>
      <color rgb="FFFFF3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microsoft.com/office/2007/relationships/hdphoto" Target="../media/hdphoto1.wdp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330200</xdr:colOff>
      <xdr:row>45</xdr:row>
      <xdr:rowOff>241300</xdr:rowOff>
    </xdr:to>
    <xdr:sp macro="" textlink="">
      <xdr:nvSpPr>
        <xdr:cNvPr id="1025" name="Rectangle 1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pt-BR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1117600</xdr:colOff>
      <xdr:row>45</xdr:row>
      <xdr:rowOff>241300</xdr:rowOff>
    </xdr:to>
    <xdr:sp macro="" textlink="">
      <xdr:nvSpPr>
        <xdr:cNvPr id="2" name="Rectangle 1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pt-BR"/>
        </a:p>
      </xdr:txBody>
    </xdr:sp>
    <xdr:clientData/>
  </xdr:twoCellAnchor>
  <xdr:twoCellAnchor>
    <xdr:from>
      <xdr:col>4</xdr:col>
      <xdr:colOff>942291</xdr:colOff>
      <xdr:row>6</xdr:row>
      <xdr:rowOff>195848</xdr:rowOff>
    </xdr:from>
    <xdr:to>
      <xdr:col>8</xdr:col>
      <xdr:colOff>1552540</xdr:colOff>
      <xdr:row>63</xdr:row>
      <xdr:rowOff>187215</xdr:rowOff>
    </xdr:to>
    <xdr:grpSp>
      <xdr:nvGrpSpPr>
        <xdr:cNvPr id="7" name="Grupo 6"/>
        <xdr:cNvGrpSpPr/>
      </xdr:nvGrpSpPr>
      <xdr:grpSpPr>
        <a:xfrm>
          <a:off x="7774891" y="1986548"/>
          <a:ext cx="9512949" cy="19066767"/>
          <a:chOff x="6546675" y="1100178"/>
          <a:chExt cx="9318496" cy="16363743"/>
        </a:xfrm>
      </xdr:grpSpPr>
      <xdr:pic>
        <xdr:nvPicPr>
          <xdr:cNvPr id="4" name="Imagem 3"/>
          <xdr:cNvPicPr>
            <a:picLocks noChangeAspect="1"/>
          </xdr:cNvPicPr>
        </xdr:nvPicPr>
        <xdr:blipFill>
          <a:blip xmlns:r="http://schemas.openxmlformats.org/officeDocument/2006/relationships" r:embed="rId1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4826408" y="3218653"/>
            <a:ext cx="5872904" cy="1635953"/>
          </a:xfrm>
          <a:prstGeom prst="rect">
            <a:avLst/>
          </a:prstGeom>
        </xdr:spPr>
      </xdr:pic>
      <xdr:pic>
        <xdr:nvPicPr>
          <xdr:cNvPr id="10" name="Imagem 9"/>
          <xdr:cNvPicPr>
            <a:picLocks noChangeAspect="1"/>
          </xdr:cNvPicPr>
        </xdr:nvPicPr>
        <xdr:blipFill>
          <a:blip xmlns:r="http://schemas.openxmlformats.org/officeDocument/2006/relationships" r:embed="rId1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7184743" y="4419258"/>
            <a:ext cx="5768592" cy="1750003"/>
          </a:xfrm>
          <a:prstGeom prst="rect">
            <a:avLst/>
          </a:prstGeom>
        </xdr:spPr>
      </xdr:pic>
      <xdr:pic>
        <xdr:nvPicPr>
          <xdr:cNvPr id="11" name="Imagem 10"/>
          <xdr:cNvPicPr>
            <a:picLocks noChangeAspect="1"/>
          </xdr:cNvPicPr>
        </xdr:nvPicPr>
        <xdr:blipFill>
          <a:blip xmlns:r="http://schemas.openxmlformats.org/officeDocument/2006/relationships" r:embed="rId1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9774206" y="5681706"/>
            <a:ext cx="5768592" cy="1611665"/>
          </a:xfrm>
          <a:prstGeom prst="rect">
            <a:avLst/>
          </a:prstGeom>
        </xdr:spPr>
      </xdr:pic>
      <xdr:pic>
        <xdr:nvPicPr>
          <xdr:cNvPr id="12" name="Imagem 11"/>
          <xdr:cNvPicPr>
            <a:picLocks noChangeAspect="1"/>
          </xdr:cNvPicPr>
        </xdr:nvPicPr>
        <xdr:blipFill>
          <a:blip xmlns:r="http://schemas.openxmlformats.org/officeDocument/2006/relationships" r:embed="rId1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6994446" y="11353316"/>
            <a:ext cx="5768592" cy="1750003"/>
          </a:xfrm>
          <a:prstGeom prst="rect">
            <a:avLst/>
          </a:prstGeom>
        </xdr:spPr>
      </xdr:pic>
      <xdr:pic>
        <xdr:nvPicPr>
          <xdr:cNvPr id="13" name="Imagem 12"/>
          <xdr:cNvPicPr>
            <a:picLocks noChangeAspect="1"/>
          </xdr:cNvPicPr>
        </xdr:nvPicPr>
        <xdr:blipFill>
          <a:blip xmlns:r="http://schemas.openxmlformats.org/officeDocument/2006/relationships" r:embed="rId1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9473233" y="12542770"/>
            <a:ext cx="5768592" cy="1603666"/>
          </a:xfrm>
          <a:prstGeom prst="rect">
            <a:avLst/>
          </a:prstGeom>
        </xdr:spPr>
      </xdr:pic>
      <xdr:pic>
        <xdr:nvPicPr>
          <xdr:cNvPr id="14" name="Imagem 13"/>
          <xdr:cNvPicPr>
            <a:picLocks noChangeAspect="1"/>
          </xdr:cNvPicPr>
        </xdr:nvPicPr>
        <xdr:blipFill>
          <a:blip xmlns:r="http://schemas.openxmlformats.org/officeDocument/2006/relationships" r:embed="rId1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2178971" y="13779661"/>
            <a:ext cx="5768592" cy="1599927"/>
          </a:xfrm>
          <a:prstGeom prst="rect">
            <a:avLst/>
          </a:prstGeom>
        </xdr:spPr>
      </xdr:pic>
      <xdr:pic>
        <xdr:nvPicPr>
          <xdr:cNvPr id="15" name="Imagem 14"/>
          <xdr:cNvPicPr>
            <a:picLocks noChangeAspect="1"/>
          </xdr:cNvPicPr>
        </xdr:nvPicPr>
        <xdr:blipFill>
          <a:blip xmlns:r="http://schemas.openxmlformats.org/officeDocument/2006/relationships" r:embed="rId1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4463277" y="10250585"/>
            <a:ext cx="5768592" cy="1601796"/>
          </a:xfrm>
          <a:prstGeom prst="rect">
            <a:avLst/>
          </a:prstGeom>
        </xdr:spPr>
      </xdr:pic>
      <xdr:pic>
        <xdr:nvPicPr>
          <xdr:cNvPr id="16" name="Imagem 15"/>
          <xdr:cNvPicPr>
            <a:picLocks noChangeAspect="1"/>
          </xdr:cNvPicPr>
        </xdr:nvPicPr>
        <xdr:blipFill>
          <a:blip xmlns:r="http://schemas.openxmlformats.org/officeDocument/2006/relationships" r:embed="rId1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2177311" y="6755711"/>
            <a:ext cx="5768591" cy="16071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1117600</xdr:colOff>
      <xdr:row>45</xdr:row>
      <xdr:rowOff>241300</xdr:rowOff>
    </xdr:to>
    <xdr:sp macro="" textlink="">
      <xdr:nvSpPr>
        <xdr:cNvPr id="3" name="AutoShape 1"/>
        <xdr:cNvSpPr>
          <a:spLocks noChangeArrowheads="1"/>
        </xdr:cNvSpPr>
      </xdr:nvSpPr>
      <xdr:spPr bwMode="auto">
        <a:xfrm>
          <a:off x="0" y="0"/>
          <a:ext cx="13525500" cy="1270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pt-BR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1117600</xdr:colOff>
      <xdr:row>45</xdr:row>
      <xdr:rowOff>241300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0" y="0"/>
          <a:ext cx="13525500" cy="12941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pt-BR"/>
        </a:p>
      </xdr:txBody>
    </xdr:sp>
    <xdr:clientData/>
  </xdr:twoCellAnchor>
  <xdr:twoCellAnchor editAs="oneCell">
    <xdr:from>
      <xdr:col>1</xdr:col>
      <xdr:colOff>189767</xdr:colOff>
      <xdr:row>1</xdr:row>
      <xdr:rowOff>294186</xdr:rowOff>
    </xdr:from>
    <xdr:to>
      <xdr:col>2</xdr:col>
      <xdr:colOff>2160458</xdr:colOff>
      <xdr:row>19</xdr:row>
      <xdr:rowOff>68456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388" y="454761"/>
          <a:ext cx="4277127" cy="5985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showGridLines="0" showRowColHeaders="0" tabSelected="1" workbookViewId="0">
      <selection activeCell="D5" sqref="D5"/>
    </sheetView>
  </sheetViews>
  <sheetFormatPr baseColWidth="10" defaultColWidth="15.1640625" defaultRowHeight="15" customHeight="1" x14ac:dyDescent="0.15"/>
  <cols>
    <col min="1" max="1" width="15" style="6" customWidth="1"/>
    <col min="2" max="2" width="30.33203125" style="6" customWidth="1"/>
    <col min="3" max="3" width="30" style="6" customWidth="1"/>
    <col min="4" max="4" width="14.33203125" style="6" customWidth="1"/>
    <col min="5" max="5" width="58.5" style="6" customWidth="1"/>
    <col min="6" max="6" width="21.1640625" style="6" customWidth="1"/>
    <col min="7" max="7" width="13.83203125" style="6" customWidth="1"/>
    <col min="8" max="9" width="23.33203125" style="6" customWidth="1"/>
    <col min="10" max="10" width="18.1640625" style="6" customWidth="1"/>
    <col min="11" max="11" width="22.83203125" style="27" bestFit="1" customWidth="1"/>
    <col min="12" max="12" width="11.1640625" style="27" customWidth="1"/>
    <col min="13" max="13" width="16" style="27" bestFit="1" customWidth="1"/>
    <col min="14" max="17" width="11.33203125" style="27" customWidth="1"/>
    <col min="18" max="18" width="10.5" style="27" customWidth="1"/>
    <col min="19" max="19" width="8.83203125" style="27" customWidth="1"/>
    <col min="20" max="22" width="8.1640625" style="27" customWidth="1"/>
    <col min="23" max="26" width="7.6640625" style="27" customWidth="1"/>
    <col min="27" max="35" width="15.1640625" style="27"/>
    <col min="36" max="16384" width="15.1640625" style="6"/>
  </cols>
  <sheetData>
    <row r="1" spans="1:35" ht="16" customHeight="1" x14ac:dyDescent="0.15">
      <c r="A1" s="2" t="s">
        <v>237</v>
      </c>
      <c r="B1" s="2"/>
      <c r="C1" s="2"/>
      <c r="D1" s="2"/>
      <c r="E1" s="2"/>
      <c r="F1" s="2"/>
      <c r="G1" s="5"/>
      <c r="H1" s="2"/>
      <c r="I1" s="5"/>
      <c r="J1" s="2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35" s="19" customFormat="1" ht="25" customHeight="1" x14ac:dyDescent="0.2">
      <c r="A2" s="2"/>
      <c r="B2" s="2"/>
      <c r="C2" s="2"/>
      <c r="D2" s="83"/>
      <c r="E2" s="95" t="s">
        <v>228</v>
      </c>
      <c r="F2" s="95"/>
      <c r="G2" s="95"/>
      <c r="H2" s="95"/>
      <c r="I2" s="95"/>
      <c r="J2" s="95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8"/>
      <c r="AB2" s="28"/>
      <c r="AC2" s="28"/>
      <c r="AD2" s="28"/>
      <c r="AE2" s="28"/>
      <c r="AF2" s="28"/>
      <c r="AG2" s="28"/>
      <c r="AH2" s="28"/>
      <c r="AI2" s="28"/>
    </row>
    <row r="3" spans="1:35" s="19" customFormat="1" ht="25" customHeight="1" x14ac:dyDescent="0.2">
      <c r="A3" s="2"/>
      <c r="B3" s="7"/>
      <c r="C3" s="7"/>
      <c r="D3" s="7"/>
      <c r="E3" s="95"/>
      <c r="F3" s="95"/>
      <c r="G3" s="95"/>
      <c r="H3" s="95"/>
      <c r="I3" s="95"/>
      <c r="J3" s="95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8"/>
      <c r="AB3" s="28"/>
      <c r="AC3" s="28"/>
      <c r="AD3" s="28"/>
      <c r="AE3" s="28"/>
      <c r="AF3" s="28"/>
      <c r="AG3" s="28"/>
      <c r="AH3" s="28"/>
      <c r="AI3" s="28"/>
    </row>
    <row r="4" spans="1:35" s="19" customFormat="1" ht="25" customHeight="1" x14ac:dyDescent="0.2">
      <c r="A4" s="2"/>
      <c r="B4" s="7"/>
      <c r="C4" s="7"/>
      <c r="D4" s="7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8"/>
      <c r="AB4" s="28"/>
      <c r="AC4" s="28"/>
      <c r="AD4" s="28"/>
      <c r="AE4" s="28"/>
      <c r="AF4" s="28"/>
      <c r="AG4" s="28"/>
      <c r="AH4" s="28"/>
      <c r="AI4" s="28"/>
    </row>
    <row r="5" spans="1:35" s="19" customFormat="1" ht="25" customHeight="1" x14ac:dyDescent="0.2">
      <c r="A5" s="2"/>
      <c r="B5" s="7"/>
      <c r="C5" s="7"/>
      <c r="D5" s="7"/>
      <c r="E5" s="95"/>
      <c r="F5" s="95"/>
      <c r="G5" s="95"/>
      <c r="H5" s="95"/>
      <c r="I5" s="95"/>
      <c r="J5" s="95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8"/>
      <c r="AB5" s="28"/>
      <c r="AC5" s="28"/>
      <c r="AD5" s="28"/>
      <c r="AE5" s="28"/>
      <c r="AF5" s="28"/>
      <c r="AG5" s="28"/>
      <c r="AH5" s="28"/>
      <c r="AI5" s="28"/>
    </row>
    <row r="6" spans="1:35" s="19" customFormat="1" ht="25" customHeight="1" x14ac:dyDescent="0.2">
      <c r="A6" s="2"/>
      <c r="B6" s="2"/>
      <c r="C6" s="2"/>
      <c r="D6" s="2"/>
      <c r="E6" s="2"/>
      <c r="F6" s="2"/>
      <c r="G6" s="5"/>
      <c r="H6" s="2"/>
      <c r="I6" s="5"/>
      <c r="J6" s="2"/>
      <c r="K6" s="29"/>
      <c r="L6" s="29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8"/>
      <c r="AB6" s="28"/>
      <c r="AC6" s="28"/>
      <c r="AD6" s="28"/>
      <c r="AE6" s="28"/>
      <c r="AF6" s="28"/>
      <c r="AG6" s="28"/>
      <c r="AH6" s="28"/>
      <c r="AI6" s="28"/>
    </row>
    <row r="7" spans="1:35" s="19" customFormat="1" ht="36" customHeight="1" x14ac:dyDescent="0.2">
      <c r="A7" s="2"/>
      <c r="B7" s="2"/>
      <c r="C7" s="2"/>
      <c r="D7" s="2"/>
      <c r="E7" s="98" t="s">
        <v>230</v>
      </c>
      <c r="F7" s="99"/>
      <c r="G7" s="99"/>
      <c r="H7" s="99"/>
      <c r="I7" s="99"/>
      <c r="J7" s="100"/>
      <c r="K7" s="29"/>
      <c r="L7" s="29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8"/>
      <c r="AB7" s="28"/>
      <c r="AC7" s="28"/>
      <c r="AD7" s="28"/>
      <c r="AE7" s="28"/>
      <c r="AF7" s="28"/>
      <c r="AG7" s="28"/>
      <c r="AH7" s="28"/>
      <c r="AI7" s="28"/>
    </row>
    <row r="8" spans="1:35" s="19" customFormat="1" ht="36" customHeight="1" x14ac:dyDescent="0.2">
      <c r="A8" s="2"/>
      <c r="B8" s="2"/>
      <c r="C8" s="2"/>
      <c r="D8" s="2"/>
      <c r="E8" s="55" t="s">
        <v>108</v>
      </c>
      <c r="F8" s="56" t="s">
        <v>109</v>
      </c>
      <c r="G8" s="56" t="s">
        <v>110</v>
      </c>
      <c r="H8" s="56" t="s">
        <v>111</v>
      </c>
      <c r="I8" s="56" t="s">
        <v>112</v>
      </c>
      <c r="J8" s="57" t="s">
        <v>238</v>
      </c>
      <c r="K8" s="29"/>
      <c r="L8" s="29"/>
      <c r="M8" s="28"/>
      <c r="N8" s="23"/>
      <c r="O8" s="23"/>
      <c r="P8" s="23"/>
      <c r="Q8" s="23"/>
      <c r="R8" s="23"/>
      <c r="S8" s="23"/>
      <c r="T8" s="23" t="s">
        <v>205</v>
      </c>
      <c r="U8" s="23"/>
      <c r="V8" s="23"/>
      <c r="W8" s="23"/>
      <c r="X8" s="23"/>
      <c r="Y8" s="23"/>
      <c r="Z8" s="23"/>
      <c r="AA8" s="28"/>
      <c r="AB8" s="28"/>
      <c r="AC8" s="28"/>
      <c r="AD8" s="28"/>
      <c r="AE8" s="28"/>
      <c r="AF8" s="28"/>
      <c r="AG8" s="28"/>
      <c r="AH8" s="28"/>
      <c r="AI8" s="28"/>
    </row>
    <row r="9" spans="1:35" s="19" customFormat="1" ht="26" customHeight="1" x14ac:dyDescent="0.2">
      <c r="A9" s="2"/>
      <c r="B9" s="2"/>
      <c r="C9" s="2"/>
      <c r="D9" s="2"/>
      <c r="E9" s="86" t="s">
        <v>168</v>
      </c>
      <c r="F9" s="75" t="s">
        <v>169</v>
      </c>
      <c r="G9" s="75" t="s">
        <v>1</v>
      </c>
      <c r="H9" s="80">
        <f>IF($C$23="Crossbreed",IF($C$24="Dairy","-",T59),T59)</f>
        <v>336</v>
      </c>
      <c r="I9" s="81">
        <f>IF(C26="Feedlot",IF(C23="Zebu",C75,D75),G75)</f>
        <v>341.62518611607391</v>
      </c>
      <c r="J9" s="78">
        <f>IF($C$23="Crossbreed",IF($C$24="Dairy","-",(I9-H9)/T59*100),(I9-H9)/T59*100)</f>
        <v>1.6741625345458051</v>
      </c>
      <c r="K9" s="29"/>
      <c r="L9" s="29"/>
      <c r="M9" s="28"/>
      <c r="N9" s="23"/>
      <c r="O9" s="23"/>
      <c r="P9" s="23"/>
      <c r="Q9" s="23"/>
      <c r="R9" s="23"/>
      <c r="S9" s="23"/>
      <c r="T9" s="23">
        <f>IF(C23="Zebu",(-2.7878+(0.08789*C29^0.75)+(5.0487*C30)-(1.6835*C30^2)),IF(C23="Crossbreed",(-2.6098+(0.08844*C29^0.75)+(4.4672*C30)-1.3579*C30^2)))</f>
        <v>7.655985030246252</v>
      </c>
      <c r="U9" s="23"/>
      <c r="V9" s="23"/>
      <c r="W9" s="23"/>
      <c r="X9" s="23"/>
      <c r="Y9" s="23"/>
      <c r="Z9" s="23"/>
      <c r="AA9" s="28"/>
      <c r="AB9" s="28"/>
      <c r="AC9" s="28"/>
      <c r="AD9" s="28"/>
      <c r="AE9" s="28"/>
      <c r="AF9" s="28"/>
      <c r="AG9" s="28"/>
      <c r="AH9" s="28"/>
      <c r="AI9" s="28"/>
    </row>
    <row r="10" spans="1:35" s="19" customFormat="1" ht="26" customHeight="1" x14ac:dyDescent="0.2">
      <c r="A10" s="2"/>
      <c r="B10" s="2"/>
      <c r="C10" s="2"/>
      <c r="D10" s="2"/>
      <c r="E10" s="85" t="s">
        <v>170</v>
      </c>
      <c r="F10" s="8" t="s">
        <v>171</v>
      </c>
      <c r="G10" s="8" t="s">
        <v>1</v>
      </c>
      <c r="H10" s="10">
        <f>IF($C$23="Crossbreed",IF($C$24="Dairy","-",T60),T60)</f>
        <v>300.72000000000003</v>
      </c>
      <c r="I10" s="10">
        <f>IF(C26="Feedlot",IF(C23="Zebu",C79,D79),G76)</f>
        <v>297.386693521631</v>
      </c>
      <c r="J10" s="15">
        <f>IF($C$23="Crossbreed",IF($C$24="Dairy","-",(I10-H10)/T60*100),(I10-H10)/T60*100)</f>
        <v>-1.1084418988989839</v>
      </c>
      <c r="K10" s="29"/>
      <c r="L10" s="29"/>
      <c r="M10" s="28"/>
      <c r="N10" s="23"/>
      <c r="O10" s="23"/>
      <c r="P10" s="23"/>
      <c r="Q10" s="23"/>
      <c r="R10" s="23"/>
      <c r="S10" s="23"/>
      <c r="T10" s="23">
        <f>0.07*T9</f>
        <v>0.53591895211723772</v>
      </c>
      <c r="U10" s="23"/>
      <c r="V10" s="23"/>
      <c r="W10" s="23"/>
      <c r="X10" s="23"/>
      <c r="Y10" s="23"/>
      <c r="Z10" s="23"/>
      <c r="AA10" s="28"/>
      <c r="AB10" s="28"/>
      <c r="AC10" s="28"/>
      <c r="AD10" s="28"/>
      <c r="AE10" s="28"/>
      <c r="AF10" s="28"/>
      <c r="AG10" s="28"/>
      <c r="AH10" s="28"/>
      <c r="AI10" s="28"/>
    </row>
    <row r="11" spans="1:35" s="19" customFormat="1" ht="26" customHeight="1" x14ac:dyDescent="0.2">
      <c r="A11" s="2"/>
      <c r="B11" s="2"/>
      <c r="C11" s="2"/>
      <c r="D11" s="2"/>
      <c r="E11" s="86" t="s">
        <v>172</v>
      </c>
      <c r="F11" s="75" t="s">
        <v>173</v>
      </c>
      <c r="G11" s="75" t="s">
        <v>1</v>
      </c>
      <c r="H11" s="76">
        <f>IF($C$23="Crossbreed",IF($C$24="Dairy","-",T61),T61)</f>
        <v>0.96599999999999997</v>
      </c>
      <c r="I11" s="77">
        <f>0.963*C30^1.0151</f>
        <v>0.96299999999999997</v>
      </c>
      <c r="J11" s="78">
        <f>IF($C$23="Crossbreed",IF($C$24="Dairy","-",(I11-H11)/T61*100),(I11-H11)/T61*100)</f>
        <v>-0.31055900621118043</v>
      </c>
      <c r="K11" s="29"/>
      <c r="L11" s="29"/>
      <c r="M11" s="28"/>
      <c r="N11" s="23"/>
      <c r="O11" s="23"/>
      <c r="P11" s="23"/>
      <c r="Q11" s="23"/>
      <c r="R11" s="23"/>
      <c r="S11" s="23"/>
      <c r="T11" s="23">
        <f>0.8*T9</f>
        <v>6.1247880241970023</v>
      </c>
      <c r="U11" s="23"/>
      <c r="V11" s="23"/>
      <c r="W11" s="23"/>
      <c r="X11" s="23"/>
      <c r="Y11" s="23"/>
      <c r="Z11" s="23"/>
      <c r="AA11" s="28"/>
      <c r="AB11" s="28"/>
      <c r="AC11" s="28"/>
      <c r="AD11" s="28"/>
      <c r="AE11" s="28"/>
      <c r="AF11" s="28"/>
      <c r="AG11" s="28"/>
      <c r="AH11" s="28"/>
      <c r="AI11" s="28"/>
    </row>
    <row r="12" spans="1:35" s="19" customFormat="1" ht="26" customHeight="1" x14ac:dyDescent="0.2">
      <c r="A12" s="2"/>
      <c r="B12" s="2"/>
      <c r="C12" s="2"/>
      <c r="D12" s="2"/>
      <c r="E12" s="85" t="s">
        <v>174</v>
      </c>
      <c r="F12" s="8" t="s">
        <v>175</v>
      </c>
      <c r="G12" s="8" t="s">
        <v>1</v>
      </c>
      <c r="H12" s="10">
        <f>IF($C$23="Crossbreed",IF($C$24="Dairy","-",T62),T62)</f>
        <v>290.80615384615385</v>
      </c>
      <c r="I12" s="10">
        <f>IF(C23="Zebu",C91,IF(C24="Beef",D91,E91))</f>
        <v>274.55164384050579</v>
      </c>
      <c r="J12" s="15">
        <f>IF($C$23="Crossbreed",IF($C$24="Dairy","-",(I12-H12)/T62*100),(I12-H12)/T62*100)</f>
        <v>-5.5894656253551069</v>
      </c>
      <c r="K12" s="29"/>
      <c r="L12" s="29"/>
      <c r="M12" s="28"/>
      <c r="N12" s="23"/>
      <c r="O12" s="23"/>
      <c r="P12" s="23"/>
      <c r="Q12" s="23"/>
      <c r="R12" s="23"/>
      <c r="S12" s="23"/>
      <c r="T12" s="23">
        <f>0.68*T9</f>
        <v>5.2060698205674516</v>
      </c>
      <c r="U12" s="23"/>
      <c r="V12" s="23"/>
      <c r="W12" s="23"/>
      <c r="X12" s="23"/>
      <c r="Y12" s="23"/>
      <c r="Z12" s="23"/>
      <c r="AA12" s="28"/>
      <c r="AB12" s="28"/>
      <c r="AC12" s="28"/>
      <c r="AD12" s="28"/>
      <c r="AE12" s="28"/>
      <c r="AF12" s="28"/>
      <c r="AG12" s="28"/>
      <c r="AH12" s="28"/>
      <c r="AI12" s="28"/>
    </row>
    <row r="13" spans="1:35" s="19" customFormat="1" ht="26" customHeight="1" x14ac:dyDescent="0.2">
      <c r="A13" s="2"/>
      <c r="B13" s="2"/>
      <c r="C13" s="2"/>
      <c r="D13" s="2"/>
      <c r="E13" s="84" t="s">
        <v>113</v>
      </c>
      <c r="F13" s="49" t="s">
        <v>176</v>
      </c>
      <c r="G13" s="49" t="s">
        <v>1</v>
      </c>
      <c r="H13" s="50">
        <f t="shared" ref="H13:H31" si="0">IF($C$23="Crossbreed",IF($C$24="Dairy","-",T9),T9)</f>
        <v>7.655985030246252</v>
      </c>
      <c r="I13" s="51">
        <f>IF(C23="Zebu",C80,IF(C24="Beef",D81,E81))</f>
        <v>7.8514093962210607</v>
      </c>
      <c r="J13" s="52">
        <f t="shared" ref="J13:J32" si="1">IF($C$23="Crossbreed",IF($C$24="Dairy","-",(I13-H13)/T9*100),(I13-H13)/T9*100)</f>
        <v>2.5525698548619418</v>
      </c>
      <c r="K13" s="29"/>
      <c r="L13" s="29"/>
      <c r="M13" s="28"/>
      <c r="N13" s="23"/>
      <c r="O13" s="23"/>
      <c r="P13" s="23"/>
      <c r="Q13" s="23"/>
      <c r="R13" s="23"/>
      <c r="S13" s="23"/>
      <c r="T13" s="23">
        <f>0.25*T9</f>
        <v>1.913996257561563</v>
      </c>
      <c r="U13" s="23"/>
      <c r="V13" s="23"/>
      <c r="W13" s="23"/>
      <c r="X13" s="23"/>
      <c r="Y13" s="23"/>
      <c r="Z13" s="23"/>
      <c r="AA13" s="28"/>
      <c r="AB13" s="28"/>
      <c r="AC13" s="28"/>
      <c r="AD13" s="28"/>
      <c r="AE13" s="28"/>
      <c r="AF13" s="28"/>
      <c r="AG13" s="28"/>
      <c r="AH13" s="28"/>
      <c r="AI13" s="28"/>
    </row>
    <row r="14" spans="1:35" s="19" customFormat="1" ht="26" customHeight="1" x14ac:dyDescent="0.2">
      <c r="A14" s="2"/>
      <c r="B14" s="2"/>
      <c r="C14" s="2"/>
      <c r="D14" s="87"/>
      <c r="E14" s="85" t="s">
        <v>114</v>
      </c>
      <c r="F14" s="8" t="s">
        <v>2</v>
      </c>
      <c r="G14" s="8" t="s">
        <v>1</v>
      </c>
      <c r="H14" s="9">
        <f t="shared" si="0"/>
        <v>0.53591895211723772</v>
      </c>
      <c r="I14" s="9">
        <f t="shared" ref="I14" si="2">0.07*I13</f>
        <v>0.54959865773547434</v>
      </c>
      <c r="J14" s="15">
        <f t="shared" si="1"/>
        <v>2.5525698548619422</v>
      </c>
      <c r="K14" s="30"/>
      <c r="L14" s="29"/>
      <c r="M14" s="28"/>
      <c r="N14" s="23"/>
      <c r="O14" s="23"/>
      <c r="P14" s="23"/>
      <c r="Q14" s="23"/>
      <c r="R14" s="23"/>
      <c r="S14" s="23"/>
      <c r="T14" s="23">
        <f>T15/4.409</f>
        <v>4.6802729016777578</v>
      </c>
      <c r="U14" s="23"/>
      <c r="V14" s="23"/>
      <c r="W14" s="23"/>
      <c r="X14" s="23"/>
      <c r="Y14" s="23"/>
      <c r="Z14" s="23"/>
      <c r="AA14" s="28"/>
      <c r="AB14" s="28"/>
      <c r="AC14" s="28"/>
      <c r="AD14" s="28"/>
      <c r="AE14" s="28"/>
      <c r="AF14" s="28"/>
      <c r="AG14" s="28"/>
      <c r="AH14" s="28"/>
      <c r="AI14" s="28"/>
    </row>
    <row r="15" spans="1:35" s="19" customFormat="1" ht="26" customHeight="1" x14ac:dyDescent="0.2">
      <c r="A15" s="2"/>
      <c r="B15" s="2"/>
      <c r="C15" s="2"/>
      <c r="D15" s="87"/>
      <c r="E15" s="86" t="s">
        <v>115</v>
      </c>
      <c r="F15" s="75" t="s">
        <v>177</v>
      </c>
      <c r="G15" s="75" t="s">
        <v>1</v>
      </c>
      <c r="H15" s="76">
        <f t="shared" si="0"/>
        <v>6.1247880241970023</v>
      </c>
      <c r="I15" s="77">
        <f t="shared" ref="I15" si="3">0.8*I13</f>
        <v>6.2811275169768486</v>
      </c>
      <c r="J15" s="78">
        <f t="shared" si="1"/>
        <v>2.5525698548619293</v>
      </c>
      <c r="K15" s="30"/>
      <c r="L15" s="29"/>
      <c r="M15" s="28"/>
      <c r="N15" s="23"/>
      <c r="O15" s="23"/>
      <c r="P15" s="23"/>
      <c r="Q15" s="23"/>
      <c r="R15" s="23"/>
      <c r="S15" s="23"/>
      <c r="T15" s="23">
        <f>T16/0.82</f>
        <v>20.635323223497235</v>
      </c>
      <c r="U15" s="23"/>
      <c r="V15" s="23"/>
      <c r="W15" s="23"/>
      <c r="X15" s="23"/>
      <c r="Y15" s="23"/>
      <c r="Z15" s="23"/>
      <c r="AA15" s="28"/>
      <c r="AB15" s="28"/>
      <c r="AC15" s="28"/>
      <c r="AD15" s="28"/>
      <c r="AE15" s="28"/>
      <c r="AF15" s="28"/>
      <c r="AG15" s="28"/>
      <c r="AH15" s="28"/>
      <c r="AI15" s="28"/>
    </row>
    <row r="16" spans="1:35" s="19" customFormat="1" ht="26" customHeight="1" x14ac:dyDescent="0.2">
      <c r="A16" s="2"/>
      <c r="B16" s="2"/>
      <c r="C16" s="2"/>
      <c r="D16" s="2"/>
      <c r="E16" s="85" t="s">
        <v>116</v>
      </c>
      <c r="F16" s="8" t="s">
        <v>178</v>
      </c>
      <c r="G16" s="8" t="s">
        <v>1</v>
      </c>
      <c r="H16" s="67">
        <f t="shared" si="0"/>
        <v>5.2060698205674516</v>
      </c>
      <c r="I16" s="67">
        <f t="shared" ref="I16" si="4">0.68*I13</f>
        <v>5.3389583894303216</v>
      </c>
      <c r="J16" s="15">
        <f t="shared" si="1"/>
        <v>2.5525698548619435</v>
      </c>
      <c r="K16" s="30"/>
      <c r="L16" s="29"/>
      <c r="M16" s="28"/>
      <c r="N16" s="23"/>
      <c r="O16" s="23"/>
      <c r="P16" s="23"/>
      <c r="Q16" s="23"/>
      <c r="R16" s="23"/>
      <c r="S16" s="23"/>
      <c r="T16" s="23">
        <f>SUM(T17:T18)</f>
        <v>16.920965043267731</v>
      </c>
      <c r="U16" s="23"/>
      <c r="V16" s="23"/>
      <c r="W16" s="23"/>
      <c r="X16" s="23"/>
      <c r="Y16" s="23"/>
      <c r="Z16" s="23"/>
      <c r="AA16" s="28"/>
      <c r="AB16" s="28"/>
      <c r="AC16" s="28"/>
      <c r="AD16" s="28"/>
      <c r="AE16" s="28"/>
      <c r="AF16" s="28"/>
      <c r="AG16" s="28"/>
      <c r="AH16" s="28"/>
      <c r="AI16" s="28"/>
    </row>
    <row r="17" spans="1:35" s="19" customFormat="1" ht="26" customHeight="1" x14ac:dyDescent="0.2">
      <c r="A17" s="2"/>
      <c r="B17" s="2"/>
      <c r="C17" s="2"/>
      <c r="D17" s="2"/>
      <c r="E17" s="86" t="s">
        <v>117</v>
      </c>
      <c r="F17" s="75" t="s">
        <v>179</v>
      </c>
      <c r="G17" s="75" t="s">
        <v>1</v>
      </c>
      <c r="H17" s="76">
        <f t="shared" si="0"/>
        <v>1.913996257561563</v>
      </c>
      <c r="I17" s="77">
        <f t="shared" ref="I17" si="5">0.25*I13</f>
        <v>1.9628523490552652</v>
      </c>
      <c r="J17" s="78">
        <f t="shared" si="1"/>
        <v>2.5525698548619418</v>
      </c>
      <c r="K17" s="30"/>
      <c r="L17" s="29"/>
      <c r="M17" s="28"/>
      <c r="N17" s="23"/>
      <c r="O17" s="23"/>
      <c r="P17" s="23"/>
      <c r="Q17" s="23"/>
      <c r="R17" s="23"/>
      <c r="S17" s="23"/>
      <c r="T17" s="23">
        <f>IF(C26="Feedlot",IF(C23="Zebu",C155,IF(C23="Crossbreed",D155)),IF(C26="Pasture",IF(C23="Zebu",IF(C25="Bull",F155,G155),IF(C23="Crossbreed",H155))))</f>
        <v>8.1845927112590235</v>
      </c>
      <c r="U17" s="23"/>
      <c r="V17" s="23"/>
      <c r="W17" s="23"/>
      <c r="X17" s="23"/>
      <c r="Y17" s="23"/>
      <c r="Z17" s="23"/>
      <c r="AA17" s="28"/>
      <c r="AB17" s="28"/>
      <c r="AC17" s="28"/>
      <c r="AD17" s="28"/>
      <c r="AE17" s="28"/>
      <c r="AF17" s="28"/>
      <c r="AG17" s="28"/>
      <c r="AH17" s="28"/>
      <c r="AI17" s="28"/>
    </row>
    <row r="18" spans="1:35" s="19" customFormat="1" ht="26" customHeight="1" x14ac:dyDescent="0.2">
      <c r="A18" s="2"/>
      <c r="B18" s="2"/>
      <c r="C18" s="2"/>
      <c r="D18" s="2"/>
      <c r="E18" s="88" t="s">
        <v>118</v>
      </c>
      <c r="F18" s="53" t="s">
        <v>180</v>
      </c>
      <c r="G18" s="53" t="s">
        <v>1</v>
      </c>
      <c r="H18" s="68">
        <f t="shared" si="0"/>
        <v>4.6802729016777578</v>
      </c>
      <c r="I18" s="68">
        <f>I19/4.4</f>
        <v>4.7699805633521724</v>
      </c>
      <c r="J18" s="54">
        <f t="shared" si="1"/>
        <v>1.9167186093412774</v>
      </c>
      <c r="K18" s="29"/>
      <c r="L18" s="29"/>
      <c r="M18" s="28"/>
      <c r="N18" s="23"/>
      <c r="O18" s="23"/>
      <c r="P18" s="23"/>
      <c r="Q18" s="23"/>
      <c r="R18" s="23"/>
      <c r="S18" s="23"/>
      <c r="T18" s="23">
        <f>IF(C26="Feedlot",IF(C23="Zebu",C156,IF(C23="Crossbreed",D156)),IF(C26="Pasture",IF(C23="Zebu",IF(C25="Bull",F156,G156),IF(C23="Crossbreed",H156))))</f>
        <v>8.7363723320087079</v>
      </c>
      <c r="U18" s="23"/>
      <c r="V18" s="23"/>
      <c r="W18" s="23"/>
      <c r="X18" s="23"/>
      <c r="Y18" s="23"/>
      <c r="Z18" s="23"/>
      <c r="AA18" s="28"/>
      <c r="AB18" s="28"/>
      <c r="AC18" s="28"/>
      <c r="AD18" s="28"/>
      <c r="AE18" s="28"/>
      <c r="AF18" s="28"/>
      <c r="AG18" s="28"/>
      <c r="AH18" s="28"/>
      <c r="AI18" s="28"/>
    </row>
    <row r="19" spans="1:35" s="19" customFormat="1" ht="26" customHeight="1" x14ac:dyDescent="0.2">
      <c r="A19" s="2"/>
      <c r="B19" s="2"/>
      <c r="C19" s="2"/>
      <c r="D19" s="2"/>
      <c r="E19" s="86" t="s">
        <v>119</v>
      </c>
      <c r="F19" s="75" t="s">
        <v>181</v>
      </c>
      <c r="G19" s="75" t="s">
        <v>4</v>
      </c>
      <c r="H19" s="79">
        <f t="shared" si="0"/>
        <v>20.635323223497235</v>
      </c>
      <c r="I19" s="78">
        <f>(((I20/I13)+0.3032)/0.9455)*I13</f>
        <v>20.987914478749559</v>
      </c>
      <c r="J19" s="78">
        <f t="shared" si="1"/>
        <v>1.7086781313453445</v>
      </c>
      <c r="K19" s="29"/>
      <c r="L19" s="29"/>
      <c r="M19" s="28"/>
      <c r="N19" s="23"/>
      <c r="O19" s="23"/>
      <c r="P19" s="23"/>
      <c r="Q19" s="23"/>
      <c r="R19" s="23"/>
      <c r="S19" s="23"/>
      <c r="T19" s="23">
        <f>IF(C26="Feedlot",IF(C23="Zebu",IF(C25="Bull",(C149+C148),IF(C25="Steer",(C150+C148),IF(C25="Heifer",(C151+C148)))),IF(C23="Crossbreed",IF(C25="Bull",(D149+D148),IF(C25="Steer",(D150+D148),IF(C25="Heifer",(D151+D148)))))),IF(C26="Pasture",IF(C23="Zebu",IF(C25="Bull",(F149+F148),IF(C25="Steer",(C150+C148),IF(C25="Heifer",(C151+C148)))),IF(C23="Crossbreed",IF(C25="Bull",(D149+D148),IF(C25="Steer",(D150+D148),IF(C25="Heifer",(D151+D148))))))))</f>
        <v>8.9518728358314412</v>
      </c>
      <c r="U19" s="23"/>
      <c r="V19" s="23"/>
      <c r="W19" s="23"/>
      <c r="X19" s="23"/>
      <c r="Y19" s="23"/>
      <c r="Z19" s="23"/>
      <c r="AA19" s="28"/>
      <c r="AB19" s="28"/>
      <c r="AC19" s="28"/>
      <c r="AD19" s="28"/>
      <c r="AE19" s="28"/>
      <c r="AF19" s="28"/>
      <c r="AG19" s="28"/>
      <c r="AH19" s="28"/>
      <c r="AI19" s="28"/>
    </row>
    <row r="20" spans="1:35" s="19" customFormat="1" ht="26" customHeight="1" x14ac:dyDescent="0.2">
      <c r="A20" s="2"/>
      <c r="B20" s="2"/>
      <c r="C20" s="2"/>
      <c r="D20" s="2"/>
      <c r="E20" s="88" t="s">
        <v>120</v>
      </c>
      <c r="F20" s="53" t="s">
        <v>182</v>
      </c>
      <c r="G20" s="53" t="s">
        <v>4</v>
      </c>
      <c r="H20" s="69">
        <f t="shared" si="0"/>
        <v>16.920965043267731</v>
      </c>
      <c r="I20" s="69">
        <f>I21+I22</f>
        <v>17.463525810723482</v>
      </c>
      <c r="J20" s="54">
        <f t="shared" si="1"/>
        <v>3.2064410396711782</v>
      </c>
      <c r="K20" s="29"/>
      <c r="L20" s="29"/>
      <c r="M20" s="28"/>
      <c r="N20" s="23"/>
      <c r="O20" s="23"/>
      <c r="P20" s="23"/>
      <c r="Q20" s="23"/>
      <c r="R20" s="23"/>
      <c r="S20" s="23"/>
      <c r="T20" s="23">
        <f>IF(C26="Feedlot",IF(C23="Zebu",C148,D148),F148)</f>
        <v>5.3582829072470703</v>
      </c>
      <c r="U20" s="23"/>
      <c r="V20" s="23"/>
      <c r="W20" s="23"/>
      <c r="X20" s="23"/>
      <c r="Y20" s="23"/>
      <c r="Z20" s="23"/>
      <c r="AA20" s="28"/>
      <c r="AB20" s="28"/>
      <c r="AC20" s="28"/>
      <c r="AD20" s="28"/>
      <c r="AE20" s="28"/>
      <c r="AF20" s="28"/>
      <c r="AG20" s="28"/>
      <c r="AH20" s="28"/>
      <c r="AI20" s="28"/>
    </row>
    <row r="21" spans="1:35" s="19" customFormat="1" ht="26" customHeight="1" x14ac:dyDescent="0.2">
      <c r="A21" s="2"/>
      <c r="B21" s="2"/>
      <c r="C21" s="2"/>
      <c r="D21" s="2"/>
      <c r="E21" s="86" t="s">
        <v>121</v>
      </c>
      <c r="F21" s="75" t="s">
        <v>183</v>
      </c>
      <c r="G21" s="75" t="s">
        <v>4</v>
      </c>
      <c r="H21" s="76">
        <f t="shared" si="0"/>
        <v>8.1845927112590235</v>
      </c>
      <c r="I21" s="77">
        <f>IF(C26="Pasture",G94,C100)</f>
        <v>8.1750318786120157</v>
      </c>
      <c r="J21" s="78">
        <f t="shared" si="1"/>
        <v>-0.1168150082026143</v>
      </c>
      <c r="K21" s="30"/>
      <c r="L21" s="29"/>
      <c r="M21" s="28"/>
      <c r="N21" s="23"/>
      <c r="O21" s="23"/>
      <c r="P21" s="23"/>
      <c r="Q21" s="23"/>
      <c r="R21" s="23"/>
      <c r="S21" s="23"/>
      <c r="T21" s="23">
        <f>IF(C26="Feedlot",IF(C23="Zebu",C159,D159),F149)</f>
        <v>3.59358992858437</v>
      </c>
      <c r="U21" s="23"/>
      <c r="V21" s="23"/>
      <c r="W21" s="23"/>
      <c r="X21" s="23"/>
      <c r="Y21" s="23"/>
      <c r="Z21" s="23"/>
      <c r="AA21" s="28"/>
      <c r="AB21" s="28"/>
      <c r="AC21" s="28"/>
      <c r="AD21" s="28"/>
      <c r="AE21" s="28"/>
      <c r="AF21" s="28"/>
      <c r="AG21" s="28"/>
      <c r="AH21" s="28"/>
      <c r="AI21" s="28"/>
    </row>
    <row r="22" spans="1:35" s="19" customFormat="1" ht="26" customHeight="1" thickBot="1" x14ac:dyDescent="0.25">
      <c r="A22" s="2"/>
      <c r="B22" s="101" t="s">
        <v>231</v>
      </c>
      <c r="C22" s="105"/>
      <c r="D22" s="2"/>
      <c r="E22" s="85" t="s">
        <v>122</v>
      </c>
      <c r="F22" s="8" t="s">
        <v>184</v>
      </c>
      <c r="G22" s="8" t="s">
        <v>4</v>
      </c>
      <c r="H22" s="71">
        <f t="shared" si="0"/>
        <v>8.7363723320087079</v>
      </c>
      <c r="I22" s="71">
        <f>IF(C26="Pasture",G95,C101)</f>
        <v>9.2884939321114661</v>
      </c>
      <c r="J22" s="15">
        <f t="shared" si="1"/>
        <v>6.3198039085384519</v>
      </c>
      <c r="K22" s="30"/>
      <c r="L22" s="29"/>
      <c r="M22" s="28"/>
      <c r="N22" s="23"/>
      <c r="O22" s="23"/>
      <c r="P22" s="23"/>
      <c r="Q22" s="23"/>
      <c r="R22" s="23"/>
      <c r="S22" s="23"/>
      <c r="T22" s="23">
        <f>IF(C26="Feedlot",IF(C23="Zebu",C154,D154),F154)*100</f>
        <v>65.46792364971347</v>
      </c>
      <c r="U22" s="23"/>
      <c r="V22" s="23"/>
      <c r="W22" s="23"/>
      <c r="X22" s="23"/>
      <c r="Y22" s="23"/>
      <c r="Z22" s="23"/>
      <c r="AA22" s="28"/>
      <c r="AB22" s="28"/>
      <c r="AC22" s="28"/>
      <c r="AD22" s="28"/>
      <c r="AE22" s="28"/>
      <c r="AF22" s="28"/>
      <c r="AG22" s="28"/>
      <c r="AH22" s="28"/>
      <c r="AI22" s="28"/>
    </row>
    <row r="23" spans="1:35" s="19" customFormat="1" ht="26" customHeight="1" x14ac:dyDescent="0.2">
      <c r="A23" s="2"/>
      <c r="B23" s="103" t="s">
        <v>192</v>
      </c>
      <c r="C23" s="63" t="s">
        <v>227</v>
      </c>
      <c r="D23" s="23"/>
      <c r="E23" s="84" t="s">
        <v>123</v>
      </c>
      <c r="F23" s="49" t="s">
        <v>185</v>
      </c>
      <c r="G23" s="49" t="s">
        <v>4</v>
      </c>
      <c r="H23" s="72">
        <f t="shared" si="0"/>
        <v>8.9518728358314412</v>
      </c>
      <c r="I23" s="52">
        <f>SUM(I24:I25)</f>
        <v>9.3278297055470247</v>
      </c>
      <c r="J23" s="52">
        <f t="shared" si="1"/>
        <v>4.1997565940699051</v>
      </c>
      <c r="K23" s="30"/>
      <c r="L23" s="29" t="s">
        <v>10</v>
      </c>
      <c r="M23" s="28"/>
      <c r="N23" s="23"/>
      <c r="O23" s="23"/>
      <c r="P23" s="23"/>
      <c r="Q23" s="23"/>
      <c r="R23" s="23"/>
      <c r="S23" s="23"/>
      <c r="T23" s="23">
        <f>IF(C26="Feedlot",IF(C23="Zebu",C153,D153),F153)*100</f>
        <v>41.133662715106773</v>
      </c>
      <c r="U23" s="23"/>
      <c r="V23" s="23"/>
      <c r="W23" s="23"/>
      <c r="X23" s="23"/>
      <c r="Y23" s="23"/>
      <c r="Z23" s="23"/>
      <c r="AA23" s="28"/>
      <c r="AB23" s="28"/>
      <c r="AC23" s="28"/>
      <c r="AD23" s="28"/>
      <c r="AE23" s="28"/>
      <c r="AF23" s="28"/>
      <c r="AG23" s="28"/>
      <c r="AH23" s="28"/>
      <c r="AI23" s="28"/>
    </row>
    <row r="24" spans="1:35" s="19" customFormat="1" ht="26" customHeight="1" x14ac:dyDescent="0.2">
      <c r="A24" s="2"/>
      <c r="B24" s="104"/>
      <c r="C24" s="64" t="s">
        <v>206</v>
      </c>
      <c r="D24" s="23">
        <f>PBmic!B7</f>
        <v>583.55916013362844</v>
      </c>
      <c r="E24" s="85" t="s">
        <v>124</v>
      </c>
      <c r="F24" s="8" t="s">
        <v>186</v>
      </c>
      <c r="G24" s="8" t="s">
        <v>4</v>
      </c>
      <c r="H24" s="67">
        <f t="shared" si="0"/>
        <v>5.3582829072470703</v>
      </c>
      <c r="I24" s="67">
        <f>IF(C23="Zebu",C92,D92)</f>
        <v>5.3709661164884199</v>
      </c>
      <c r="J24" s="15">
        <f t="shared" si="1"/>
        <v>0.23670286658801754</v>
      </c>
      <c r="K24" s="31" t="s">
        <v>13</v>
      </c>
      <c r="L24" s="26">
        <f>I28/1000</f>
        <v>0.90123854977488582</v>
      </c>
      <c r="M24" s="28"/>
      <c r="N24" s="23"/>
      <c r="O24" s="23"/>
      <c r="P24" s="23"/>
      <c r="Q24" s="23"/>
      <c r="R24" s="23"/>
      <c r="S24" s="23"/>
      <c r="T24" s="23">
        <f>T25+T28</f>
        <v>970.80385240965472</v>
      </c>
      <c r="U24" s="23"/>
      <c r="V24" s="23"/>
      <c r="W24" s="23"/>
      <c r="X24" s="23"/>
      <c r="Y24" s="23"/>
      <c r="Z24" s="23"/>
      <c r="AA24" s="28"/>
      <c r="AB24" s="28"/>
      <c r="AC24" s="28"/>
      <c r="AD24" s="28"/>
      <c r="AE24" s="28"/>
      <c r="AF24" s="28"/>
      <c r="AG24" s="28"/>
      <c r="AH24" s="28"/>
      <c r="AI24" s="28"/>
    </row>
    <row r="25" spans="1:35" s="19" customFormat="1" ht="26" customHeight="1" x14ac:dyDescent="0.2">
      <c r="A25" s="2"/>
      <c r="B25" s="89" t="s">
        <v>193</v>
      </c>
      <c r="C25" s="64" t="s">
        <v>211</v>
      </c>
      <c r="D25" s="23"/>
      <c r="E25" s="86" t="s">
        <v>125</v>
      </c>
      <c r="F25" s="75" t="s">
        <v>187</v>
      </c>
      <c r="G25" s="75" t="s">
        <v>4</v>
      </c>
      <c r="H25" s="76">
        <f t="shared" si="0"/>
        <v>3.59358992858437</v>
      </c>
      <c r="I25" s="77">
        <f>IF(C26="Feedlot",C94,G89)</f>
        <v>3.9568635890586044</v>
      </c>
      <c r="J25" s="78">
        <f t="shared" si="1"/>
        <v>10.108934733611621</v>
      </c>
      <c r="K25" s="31"/>
      <c r="L25" s="32">
        <v>0.74</v>
      </c>
      <c r="M25" s="28"/>
      <c r="N25" s="23"/>
      <c r="O25" s="23"/>
      <c r="P25" s="23"/>
      <c r="Q25" s="23"/>
      <c r="R25" s="23"/>
      <c r="S25" s="23"/>
      <c r="T25" s="23">
        <f>IF(C26="Feedlot",IF(C23="Zebu",C182,IF(C23="Crossbreed",D182)),IF(C26="Pasture",IF(C23="Zebu",IF(C25="Bull",F182,C182),IF(C23="Crossbreed",D182))))</f>
        <v>623.41235050347746</v>
      </c>
      <c r="U25" s="23"/>
      <c r="V25" s="23"/>
      <c r="W25" s="23"/>
      <c r="X25" s="23"/>
      <c r="Y25" s="23"/>
      <c r="Z25" s="23"/>
      <c r="AA25" s="28"/>
      <c r="AB25" s="28"/>
      <c r="AC25" s="28"/>
      <c r="AD25" s="28"/>
      <c r="AE25" s="28"/>
      <c r="AF25" s="28"/>
      <c r="AG25" s="28"/>
      <c r="AH25" s="28"/>
      <c r="AI25" s="28"/>
    </row>
    <row r="26" spans="1:35" s="19" customFormat="1" ht="26" customHeight="1" x14ac:dyDescent="0.2">
      <c r="A26" s="2"/>
      <c r="B26" s="89" t="s">
        <v>194</v>
      </c>
      <c r="C26" s="64" t="s">
        <v>226</v>
      </c>
      <c r="D26" s="2"/>
      <c r="E26" s="85" t="s">
        <v>126</v>
      </c>
      <c r="F26" s="8" t="s">
        <v>8</v>
      </c>
      <c r="G26" s="8" t="s">
        <v>9</v>
      </c>
      <c r="H26" s="71">
        <f t="shared" si="0"/>
        <v>65.46792364971347</v>
      </c>
      <c r="I26" s="71">
        <f>IF(C26="Pasture",G92,C98)*100</f>
        <v>65.69963513586103</v>
      </c>
      <c r="J26" s="15">
        <f t="shared" si="1"/>
        <v>0.35393131969074498</v>
      </c>
      <c r="K26" s="31"/>
      <c r="L26" s="32">
        <f>L24-L25</f>
        <v>0.16123854977488583</v>
      </c>
      <c r="M26" s="28"/>
      <c r="N26" s="23"/>
      <c r="O26" s="23"/>
      <c r="P26" s="23"/>
      <c r="Q26" s="23"/>
      <c r="R26" s="23"/>
      <c r="S26" s="23"/>
      <c r="T26" s="23">
        <f>(T25/T24)*100</f>
        <v>64.216097716968392</v>
      </c>
      <c r="U26" s="23"/>
      <c r="V26" s="23"/>
      <c r="W26" s="23"/>
      <c r="X26" s="23"/>
      <c r="Y26" s="23"/>
      <c r="Z26" s="23"/>
      <c r="AA26" s="28"/>
      <c r="AB26" s="28"/>
      <c r="AC26" s="28"/>
      <c r="AD26" s="28"/>
      <c r="AE26" s="28"/>
      <c r="AF26" s="28"/>
      <c r="AG26" s="28"/>
      <c r="AH26" s="28"/>
      <c r="AI26" s="28"/>
    </row>
    <row r="27" spans="1:35" s="19" customFormat="1" ht="26" customHeight="1" x14ac:dyDescent="0.2">
      <c r="A27" s="2"/>
      <c r="B27" s="89" t="s">
        <v>195</v>
      </c>
      <c r="C27" s="65">
        <v>300</v>
      </c>
      <c r="D27" s="2"/>
      <c r="E27" s="86" t="s">
        <v>127</v>
      </c>
      <c r="F27" s="75" t="s">
        <v>1</v>
      </c>
      <c r="G27" s="75" t="s">
        <v>9</v>
      </c>
      <c r="H27" s="79">
        <f t="shared" si="0"/>
        <v>41.133662715106773</v>
      </c>
      <c r="I27" s="78">
        <f>IF(C26="Pasture",G91,C96)*100</f>
        <v>42.599625062780518</v>
      </c>
      <c r="J27" s="78">
        <f t="shared" si="1"/>
        <v>3.5638993731899173</v>
      </c>
      <c r="K27" s="30"/>
      <c r="L27" s="33"/>
      <c r="M27" s="28"/>
      <c r="N27" s="23"/>
      <c r="O27" s="23"/>
      <c r="P27" s="23"/>
      <c r="Q27" s="23"/>
      <c r="R27" s="23"/>
      <c r="S27" s="23"/>
      <c r="T27" s="23">
        <f>120*T14</f>
        <v>561.63274820133097</v>
      </c>
      <c r="U27" s="23"/>
      <c r="V27" s="23"/>
      <c r="W27" s="23"/>
      <c r="X27" s="23"/>
      <c r="Y27" s="23"/>
      <c r="Z27" s="23"/>
      <c r="AA27" s="28"/>
      <c r="AB27" s="28"/>
      <c r="AC27" s="28"/>
      <c r="AD27" s="28"/>
      <c r="AE27" s="28"/>
      <c r="AF27" s="28"/>
      <c r="AG27" s="28"/>
      <c r="AH27" s="28"/>
      <c r="AI27" s="28"/>
    </row>
    <row r="28" spans="1:35" s="19" customFormat="1" ht="26" customHeight="1" x14ac:dyDescent="0.2">
      <c r="A28" s="2"/>
      <c r="B28" s="89" t="s">
        <v>196</v>
      </c>
      <c r="C28" s="65">
        <v>400</v>
      </c>
      <c r="D28" s="2"/>
      <c r="E28" s="88" t="s">
        <v>128</v>
      </c>
      <c r="F28" s="53" t="s">
        <v>188</v>
      </c>
      <c r="G28" s="53" t="s">
        <v>12</v>
      </c>
      <c r="H28" s="70">
        <f t="shared" si="0"/>
        <v>970.80385240965472</v>
      </c>
      <c r="I28" s="70">
        <f>PBmic!A100*1000</f>
        <v>901.23854977488577</v>
      </c>
      <c r="J28" s="54">
        <f t="shared" si="1"/>
        <v>-7.1657423342624069</v>
      </c>
      <c r="K28" s="29"/>
      <c r="L28" s="29"/>
      <c r="M28" s="28"/>
      <c r="N28" s="23"/>
      <c r="O28" s="23"/>
      <c r="P28" s="23"/>
      <c r="Q28" s="23"/>
      <c r="R28" s="23"/>
      <c r="S28" s="23"/>
      <c r="T28" s="23">
        <f>IF(C26="Feedlot",IF(C23="Zebu",C183,IF(C23="Crossbreed",D183)),IF(C26="Pasture",IF(C23="Zebu",IF(C25="Bull",F183,G183),IF(C23="Crossbreed",H183))))</f>
        <v>347.39150190617727</v>
      </c>
      <c r="U28" s="23"/>
      <c r="V28" s="23"/>
      <c r="W28" s="23"/>
      <c r="X28" s="23"/>
      <c r="Y28" s="23"/>
      <c r="Z28" s="23"/>
      <c r="AA28" s="28"/>
      <c r="AB28" s="28"/>
      <c r="AC28" s="28"/>
      <c r="AD28" s="28"/>
      <c r="AE28" s="28"/>
      <c r="AF28" s="28"/>
      <c r="AG28" s="28"/>
      <c r="AH28" s="28"/>
      <c r="AI28" s="28"/>
    </row>
    <row r="29" spans="1:35" s="19" customFormat="1" ht="26" customHeight="1" x14ac:dyDescent="0.2">
      <c r="A29" s="2"/>
      <c r="B29" s="90" t="s">
        <v>197</v>
      </c>
      <c r="C29" s="22">
        <f>AVERAGE(C27:C28)</f>
        <v>350</v>
      </c>
      <c r="D29" s="2"/>
      <c r="E29" s="84" t="s">
        <v>129</v>
      </c>
      <c r="F29" s="49" t="s">
        <v>189</v>
      </c>
      <c r="G29" s="49" t="s">
        <v>12</v>
      </c>
      <c r="H29" s="73">
        <f t="shared" si="0"/>
        <v>623.41235050347746</v>
      </c>
      <c r="I29" s="74">
        <f>I31</f>
        <v>583.55916016861772</v>
      </c>
      <c r="J29" s="52">
        <f t="shared" si="1"/>
        <v>-6.392749566586815</v>
      </c>
      <c r="K29" s="29"/>
      <c r="L29" s="29"/>
      <c r="M29" s="28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8"/>
      <c r="AB29" s="28"/>
      <c r="AC29" s="28"/>
      <c r="AD29" s="28"/>
      <c r="AE29" s="28"/>
      <c r="AF29" s="28"/>
      <c r="AG29" s="28"/>
      <c r="AH29" s="28"/>
      <c r="AI29" s="28"/>
    </row>
    <row r="30" spans="1:35" s="19" customFormat="1" ht="26" customHeight="1" thickBot="1" x14ac:dyDescent="0.25">
      <c r="A30" s="2"/>
      <c r="B30" s="91" t="s">
        <v>224</v>
      </c>
      <c r="C30" s="66">
        <v>1</v>
      </c>
      <c r="D30" s="2"/>
      <c r="E30" s="85" t="s">
        <v>129</v>
      </c>
      <c r="F30" s="8" t="s">
        <v>189</v>
      </c>
      <c r="G30" s="8" t="s">
        <v>133</v>
      </c>
      <c r="H30" s="71">
        <f t="shared" si="0"/>
        <v>64.216097716968392</v>
      </c>
      <c r="I30" s="71">
        <f>(I29/I28)*100</f>
        <v>64.750798810634663</v>
      </c>
      <c r="J30" s="15">
        <f t="shared" si="1"/>
        <v>0.8326589635249394</v>
      </c>
      <c r="K30" s="29"/>
      <c r="L30" s="29"/>
      <c r="M30" s="28"/>
      <c r="N30" s="23"/>
      <c r="O30" s="23"/>
      <c r="P30" s="23"/>
      <c r="Q30" s="23"/>
      <c r="R30" s="23"/>
      <c r="S30" s="23"/>
      <c r="T30" s="23">
        <f>(T28/T24)*100</f>
        <v>35.783902283031608</v>
      </c>
      <c r="U30" s="23"/>
      <c r="V30" s="23"/>
      <c r="W30" s="23"/>
      <c r="X30" s="23"/>
      <c r="Y30" s="23"/>
      <c r="Z30" s="23"/>
      <c r="AA30" s="28"/>
      <c r="AB30" s="28"/>
      <c r="AC30" s="28"/>
      <c r="AD30" s="28"/>
      <c r="AE30" s="28"/>
      <c r="AF30" s="28"/>
      <c r="AG30" s="28"/>
      <c r="AH30" s="28"/>
      <c r="AI30" s="28"/>
    </row>
    <row r="31" spans="1:35" s="19" customFormat="1" ht="26" customHeight="1" x14ac:dyDescent="0.2">
      <c r="A31" s="2"/>
      <c r="B31" s="2"/>
      <c r="C31" s="2"/>
      <c r="D31" s="2"/>
      <c r="E31" s="86" t="s">
        <v>130</v>
      </c>
      <c r="F31" s="75" t="s">
        <v>190</v>
      </c>
      <c r="G31" s="75" t="s">
        <v>12</v>
      </c>
      <c r="H31" s="80">
        <f t="shared" si="0"/>
        <v>561.63274820133097</v>
      </c>
      <c r="I31" s="81">
        <f>PBmic!B100</f>
        <v>583.55916016861772</v>
      </c>
      <c r="J31" s="78">
        <f t="shared" si="1"/>
        <v>3.9040479810886488</v>
      </c>
      <c r="K31" s="29"/>
      <c r="L31" s="29"/>
      <c r="M31" s="28"/>
      <c r="N31" s="23"/>
      <c r="O31" s="23"/>
      <c r="P31" s="23"/>
      <c r="Q31" s="23"/>
      <c r="R31" s="23"/>
      <c r="S31" s="23"/>
      <c r="T31" s="23">
        <f>T32+T33</f>
        <v>637.35816037379368</v>
      </c>
      <c r="U31" s="23"/>
      <c r="V31" s="23"/>
      <c r="W31" s="23"/>
      <c r="X31" s="23"/>
      <c r="Y31" s="23"/>
      <c r="Z31" s="23"/>
      <c r="AA31" s="28"/>
      <c r="AB31" s="28"/>
      <c r="AC31" s="28"/>
      <c r="AD31" s="28"/>
      <c r="AE31" s="28"/>
      <c r="AF31" s="28"/>
      <c r="AG31" s="28"/>
      <c r="AH31" s="28"/>
      <c r="AI31" s="28"/>
    </row>
    <row r="32" spans="1:35" s="19" customFormat="1" ht="26" customHeight="1" x14ac:dyDescent="0.2">
      <c r="A32" s="2"/>
      <c r="B32" s="2"/>
      <c r="C32" s="2"/>
      <c r="D32" s="2"/>
      <c r="E32" s="85" t="s">
        <v>131</v>
      </c>
      <c r="F32" s="8" t="s">
        <v>191</v>
      </c>
      <c r="G32" s="8" t="s">
        <v>132</v>
      </c>
      <c r="H32" s="10">
        <f>IF($C$23="Crossbreed",IF($C$24="Dairy","-",H31/H18),H31/H18)</f>
        <v>120.00000000000001</v>
      </c>
      <c r="I32" s="10">
        <f>I31/I18</f>
        <v>122.33994508323806</v>
      </c>
      <c r="J32" s="15">
        <f t="shared" si="1"/>
        <v>0.67357579860143402</v>
      </c>
      <c r="K32" s="30"/>
      <c r="L32" s="29"/>
      <c r="M32" s="28"/>
      <c r="N32" s="23"/>
      <c r="O32" s="23"/>
      <c r="P32" s="23"/>
      <c r="Q32" s="23"/>
      <c r="R32" s="23"/>
      <c r="S32" s="23"/>
      <c r="T32" s="23">
        <f>IF(C26="Feedlot",IF(C23="Zebu",C179,IF(C23="Crossbreed",D179)),IF(C26="Pasture",IF(C23="Zebu",IF(C25="Bull",F179,G179),IF(C23="Crossbreed",H179))))</f>
        <v>323.67639214139535</v>
      </c>
      <c r="U32" s="23"/>
      <c r="V32" s="23"/>
      <c r="W32" s="23"/>
      <c r="X32" s="23"/>
      <c r="Y32" s="23"/>
      <c r="Z32" s="23"/>
      <c r="AA32" s="28"/>
      <c r="AB32" s="28"/>
      <c r="AC32" s="28"/>
      <c r="AD32" s="28"/>
      <c r="AE32" s="28"/>
      <c r="AF32" s="28"/>
      <c r="AG32" s="28"/>
      <c r="AH32" s="28"/>
      <c r="AI32" s="28"/>
    </row>
    <row r="33" spans="1:35" s="19" customFormat="1" ht="26" customHeight="1" x14ac:dyDescent="0.2">
      <c r="A33" s="2"/>
      <c r="B33" s="2"/>
      <c r="C33" s="2"/>
      <c r="D33" s="2"/>
      <c r="E33" s="84" t="s">
        <v>134</v>
      </c>
      <c r="F33" s="49" t="s">
        <v>135</v>
      </c>
      <c r="G33" s="49" t="s">
        <v>12</v>
      </c>
      <c r="H33" s="73">
        <f>IF($C$23="Crossbreed",IF($C$24="Dairy","-",T28),T28)</f>
        <v>347.39150190617727</v>
      </c>
      <c r="I33" s="74">
        <f>(I35-(I31*0.64))/0.8</f>
        <v>317.67938960626805</v>
      </c>
      <c r="J33" s="52">
        <f>IF($C$23="Crossbreed",IF($C$24="Dairy","-",(I33-H33)/T28*100),(I33-H33)/T28*100)</f>
        <v>-8.5529185765556814</v>
      </c>
      <c r="K33" s="34"/>
      <c r="L33" s="29"/>
      <c r="M33" s="28"/>
      <c r="N33" s="23"/>
      <c r="O33" s="23"/>
      <c r="P33" s="23"/>
      <c r="Q33" s="23"/>
      <c r="R33" s="23"/>
      <c r="S33" s="23"/>
      <c r="T33" s="23">
        <f>IF(C26="Feedlot",IF(C23="Zebu",C178,IF(C23="Crossbreed",D178)),IF(C26="Pasture",IF(C23="Zebu",IF(C25="Bull",F178,C178),IF(C23="Crossbreed",D178))))</f>
        <v>313.68176823239838</v>
      </c>
      <c r="U33" s="23"/>
      <c r="V33" s="23"/>
      <c r="W33" s="23"/>
      <c r="X33" s="23"/>
      <c r="Y33" s="23"/>
      <c r="Z33" s="23"/>
      <c r="AA33" s="28"/>
      <c r="AB33" s="28"/>
      <c r="AC33" s="28"/>
      <c r="AD33" s="28"/>
      <c r="AE33" s="28"/>
      <c r="AF33" s="28"/>
      <c r="AG33" s="28"/>
      <c r="AH33" s="28"/>
      <c r="AI33" s="28"/>
    </row>
    <row r="34" spans="1:35" s="19" customFormat="1" ht="26" customHeight="1" x14ac:dyDescent="0.2">
      <c r="A34" s="2"/>
      <c r="B34" s="2"/>
      <c r="C34" s="2"/>
      <c r="D34" s="2"/>
      <c r="E34" s="85" t="s">
        <v>134</v>
      </c>
      <c r="F34" s="8" t="s">
        <v>135</v>
      </c>
      <c r="G34" s="8" t="s">
        <v>133</v>
      </c>
      <c r="H34" s="71">
        <f t="shared" ref="H34:H57" si="6">IF($C$23="Crossbreed",IF($C$24="Dairy","-",T30),T30)</f>
        <v>35.783902283031608</v>
      </c>
      <c r="I34" s="71">
        <f>(I33/I28)*100</f>
        <v>35.249201189365351</v>
      </c>
      <c r="J34" s="15">
        <f t="shared" ref="J34:J57" si="7">IF($C$23="Crossbreed",IF($C$24="Dairy","-",(I34-H34)/T30*100),(I34-H34)/T30*100)</f>
        <v>-1.4942503739168975</v>
      </c>
      <c r="K34" s="29"/>
      <c r="L34" s="29"/>
      <c r="M34" s="28"/>
      <c r="N34" s="23"/>
      <c r="O34" s="23"/>
      <c r="P34" s="23"/>
      <c r="Q34" s="23"/>
      <c r="R34" s="23"/>
      <c r="S34" s="23"/>
      <c r="T34" s="23">
        <f>IF(C26="Feedlot",IF(C23="Zebu",C175,D175),F172)</f>
        <v>158.02959517194861</v>
      </c>
      <c r="U34" s="23"/>
      <c r="V34" s="23"/>
      <c r="W34" s="23"/>
      <c r="X34" s="23"/>
      <c r="Y34" s="23"/>
      <c r="Z34" s="23"/>
      <c r="AA34" s="28"/>
      <c r="AB34" s="28"/>
      <c r="AC34" s="28"/>
      <c r="AD34" s="28"/>
      <c r="AE34" s="28"/>
      <c r="AF34" s="28"/>
      <c r="AG34" s="28"/>
      <c r="AH34" s="28"/>
      <c r="AI34" s="28"/>
    </row>
    <row r="35" spans="1:35" s="19" customFormat="1" ht="26" customHeight="1" x14ac:dyDescent="0.2">
      <c r="A35" s="2"/>
      <c r="B35" s="2"/>
      <c r="C35" s="2"/>
      <c r="D35" s="2"/>
      <c r="E35" s="86" t="s">
        <v>136</v>
      </c>
      <c r="F35" s="75" t="s">
        <v>137</v>
      </c>
      <c r="G35" s="75" t="s">
        <v>12</v>
      </c>
      <c r="H35" s="80">
        <f t="shared" si="6"/>
        <v>637.35816037379368</v>
      </c>
      <c r="I35" s="81">
        <f t="shared" ref="I35" si="8">I36+I37</f>
        <v>627.62137419292981</v>
      </c>
      <c r="J35" s="78">
        <f t="shared" si="7"/>
        <v>-1.527678907437775</v>
      </c>
      <c r="K35" s="29"/>
      <c r="L35" s="29"/>
      <c r="M35" s="28"/>
      <c r="N35" s="23"/>
      <c r="O35" s="23"/>
      <c r="P35" s="23"/>
      <c r="Q35" s="23"/>
      <c r="R35" s="23"/>
      <c r="S35" s="23"/>
      <c r="T35" s="23">
        <f>IF(C26="Feedlot",IF(C23="Zebu",IF(T59&lt;=350,C176,C177),IF(T59&lt;=350,D176,D177)),IF(T59&lt;=350,F176,F177))*100</f>
        <v>50.378954461538463</v>
      </c>
      <c r="U35" s="23"/>
      <c r="V35" s="23"/>
      <c r="W35" s="23"/>
      <c r="X35" s="23"/>
      <c r="Y35" s="23"/>
      <c r="Z35" s="23"/>
      <c r="AA35" s="28"/>
      <c r="AB35" s="28"/>
      <c r="AC35" s="28"/>
      <c r="AD35" s="28"/>
      <c r="AE35" s="28"/>
      <c r="AF35" s="28"/>
      <c r="AG35" s="28"/>
      <c r="AH35" s="28"/>
      <c r="AI35" s="28"/>
    </row>
    <row r="36" spans="1:35" s="19" customFormat="1" ht="26" customHeight="1" thickBot="1" x14ac:dyDescent="0.25">
      <c r="A36" s="2"/>
      <c r="B36" s="101" t="s">
        <v>198</v>
      </c>
      <c r="C36" s="102"/>
      <c r="D36" s="2"/>
      <c r="E36" s="85" t="s">
        <v>138</v>
      </c>
      <c r="F36" s="8" t="s">
        <v>139</v>
      </c>
      <c r="G36" s="8" t="s">
        <v>12</v>
      </c>
      <c r="H36" s="10">
        <f t="shared" si="6"/>
        <v>323.67639214139535</v>
      </c>
      <c r="I36" s="10">
        <f>IF(C26="Pasture",G109,C109)</f>
        <v>286.06512287090663</v>
      </c>
      <c r="J36" s="15">
        <f t="shared" si="7"/>
        <v>-11.620022400045334</v>
      </c>
      <c r="K36" s="34"/>
      <c r="L36" s="29"/>
      <c r="M36" s="28"/>
      <c r="N36" s="23"/>
      <c r="O36" s="23"/>
      <c r="P36" s="23"/>
      <c r="Q36" s="23"/>
      <c r="R36" s="23"/>
      <c r="S36" s="23"/>
      <c r="T36" s="23">
        <f>IF(C26="Feedlot",IF(C23="Zebu",C197,IF(C23="Crossbreed",D197)),IF(C26="Pasture",IF(C23="Zebu",IF(C25="Bull",F197,G197),IF(C23="Crossbreed",H197))))</f>
        <v>28.325637923085857</v>
      </c>
      <c r="U36" s="23"/>
      <c r="V36" s="23"/>
      <c r="W36" s="23"/>
      <c r="X36" s="23"/>
      <c r="Y36" s="23"/>
      <c r="Z36" s="23"/>
      <c r="AA36" s="28"/>
      <c r="AB36" s="28"/>
      <c r="AC36" s="28"/>
      <c r="AD36" s="28"/>
      <c r="AE36" s="28"/>
      <c r="AF36" s="28"/>
      <c r="AG36" s="28"/>
      <c r="AH36" s="28"/>
      <c r="AI36" s="28"/>
    </row>
    <row r="37" spans="1:35" s="19" customFormat="1" ht="26" customHeight="1" x14ac:dyDescent="0.2">
      <c r="A37" s="2"/>
      <c r="B37" s="11" t="s">
        <v>199</v>
      </c>
      <c r="C37" s="12"/>
      <c r="D37" s="2"/>
      <c r="E37" s="86" t="s">
        <v>140</v>
      </c>
      <c r="F37" s="75" t="s">
        <v>141</v>
      </c>
      <c r="G37" s="75" t="s">
        <v>12</v>
      </c>
      <c r="H37" s="80">
        <f t="shared" si="6"/>
        <v>313.68176823239838</v>
      </c>
      <c r="I37" s="81">
        <f>I38/IF(I9&lt;=340,84.665-0.1179*I12,47.4)*100</f>
        <v>341.55625132202317</v>
      </c>
      <c r="J37" s="78">
        <f t="shared" si="7"/>
        <v>8.8862299032225973</v>
      </c>
      <c r="K37" s="29"/>
      <c r="L37" s="29"/>
      <c r="M37" s="28"/>
      <c r="N37" s="23"/>
      <c r="O37" s="23"/>
      <c r="P37" s="23"/>
      <c r="Q37" s="23"/>
      <c r="R37" s="23"/>
      <c r="S37" s="23"/>
      <c r="T37" s="23">
        <f>IF(C26="Feedlot",IF(C23="Zebu",C196,IF(C23="Crossbreed",D196)),IF(C26="Pasture",IF(C23="Zebu",IF(C25="Bull",F196,G196),IF(C23="Crossbreed",H196))))</f>
        <v>9.7999999999999989</v>
      </c>
      <c r="U37" s="23"/>
      <c r="V37" s="23"/>
      <c r="W37" s="23"/>
      <c r="X37" s="23"/>
      <c r="Y37" s="23"/>
      <c r="Z37" s="23"/>
      <c r="AA37" s="28"/>
      <c r="AB37" s="28"/>
      <c r="AC37" s="28"/>
      <c r="AD37" s="28"/>
      <c r="AE37" s="28"/>
      <c r="AF37" s="28"/>
      <c r="AG37" s="28"/>
      <c r="AH37" s="28"/>
      <c r="AI37" s="28"/>
    </row>
    <row r="38" spans="1:35" s="19" customFormat="1" ht="26" customHeight="1" x14ac:dyDescent="0.2">
      <c r="A38" s="2"/>
      <c r="B38" s="13" t="s">
        <v>26</v>
      </c>
      <c r="C38" s="14"/>
      <c r="D38" s="2"/>
      <c r="E38" s="85" t="s">
        <v>142</v>
      </c>
      <c r="F38" s="8" t="s">
        <v>143</v>
      </c>
      <c r="G38" s="8" t="s">
        <v>12</v>
      </c>
      <c r="H38" s="10">
        <f t="shared" si="6"/>
        <v>158.02959517194861</v>
      </c>
      <c r="I38" s="10">
        <f>IF(C26="Pasture",G110,C114)</f>
        <v>161.89766312663897</v>
      </c>
      <c r="J38" s="15">
        <f t="shared" si="7"/>
        <v>2.4476857961204033</v>
      </c>
      <c r="K38" s="29"/>
      <c r="L38" s="29"/>
      <c r="M38" s="28"/>
      <c r="N38" s="23"/>
      <c r="O38" s="23"/>
      <c r="P38" s="23"/>
      <c r="Q38" s="23"/>
      <c r="R38" s="23"/>
      <c r="S38" s="23"/>
      <c r="T38" s="23">
        <f>IF(C26="Feedlot",IF(C23="Zebu",C195,IF(C23="Crossbreed",D195)),IF(C26="Pasture",IF(C23="Zebu",IF(C25="Bull",F195,G195),IF(C23="Crossbreed",H195))))</f>
        <v>18.52563792308586</v>
      </c>
      <c r="U38" s="23"/>
      <c r="V38" s="23"/>
      <c r="W38" s="23"/>
      <c r="X38" s="23"/>
      <c r="Y38" s="23"/>
      <c r="Z38" s="23"/>
      <c r="AA38" s="28"/>
      <c r="AB38" s="28"/>
      <c r="AC38" s="28"/>
      <c r="AD38" s="28"/>
      <c r="AE38" s="28"/>
      <c r="AF38" s="28"/>
      <c r="AG38" s="28"/>
      <c r="AH38" s="28"/>
      <c r="AI38" s="28"/>
    </row>
    <row r="39" spans="1:35" s="19" customFormat="1" ht="26" customHeight="1" x14ac:dyDescent="0.2">
      <c r="A39" s="2"/>
      <c r="B39" s="13" t="s">
        <v>28</v>
      </c>
      <c r="C39" s="14"/>
      <c r="D39" s="2"/>
      <c r="E39" s="86" t="s">
        <v>144</v>
      </c>
      <c r="F39" s="75" t="s">
        <v>20</v>
      </c>
      <c r="G39" s="75" t="s">
        <v>9</v>
      </c>
      <c r="H39" s="79">
        <f t="shared" si="6"/>
        <v>50.378954461538463</v>
      </c>
      <c r="I39" s="78">
        <f>IF(I9&lt;=340,84.665-0.1179*I12,47.4)</f>
        <v>47.4</v>
      </c>
      <c r="J39" s="78">
        <f t="shared" si="7"/>
        <v>-5.9130930631216865</v>
      </c>
      <c r="K39" s="34"/>
      <c r="L39" s="29"/>
      <c r="M39" s="28"/>
      <c r="N39" s="23"/>
      <c r="O39" s="23"/>
      <c r="P39" s="23"/>
      <c r="Q39" s="23"/>
      <c r="R39" s="23"/>
      <c r="S39" s="23"/>
      <c r="T39" s="23">
        <f>IF(C26="Feedlot",IF(C23="Zebu",C200,IF(C23="Crossbreed",D200)),IF(C26="Pasture",IF(C23="Zebu",IF(C25="Bull",F200,G200),IF(C23="Crossbreed",H200))))</f>
        <v>17.229150479654116</v>
      </c>
      <c r="U39" s="23"/>
      <c r="V39" s="23"/>
      <c r="W39" s="23"/>
      <c r="X39" s="23"/>
      <c r="Y39" s="23"/>
      <c r="Z39" s="23"/>
      <c r="AA39" s="28"/>
      <c r="AB39" s="28"/>
      <c r="AC39" s="28"/>
      <c r="AD39" s="28"/>
      <c r="AE39" s="28"/>
      <c r="AF39" s="28"/>
      <c r="AG39" s="28"/>
      <c r="AH39" s="28"/>
      <c r="AI39" s="28"/>
    </row>
    <row r="40" spans="1:35" s="19" customFormat="1" ht="26" customHeight="1" x14ac:dyDescent="0.2">
      <c r="A40" s="2"/>
      <c r="B40" s="13" t="s">
        <v>30</v>
      </c>
      <c r="C40" s="14"/>
      <c r="D40" s="2"/>
      <c r="E40" s="88" t="s">
        <v>145</v>
      </c>
      <c r="F40" s="53" t="s">
        <v>21</v>
      </c>
      <c r="G40" s="53" t="s">
        <v>12</v>
      </c>
      <c r="H40" s="69">
        <f t="shared" si="6"/>
        <v>28.325637923085857</v>
      </c>
      <c r="I40" s="69">
        <f>SUM(I41:I42)</f>
        <v>25.296192946560996</v>
      </c>
      <c r="J40" s="54">
        <f t="shared" si="7"/>
        <v>-10.695063548968879</v>
      </c>
      <c r="K40" s="29"/>
      <c r="L40" s="29"/>
      <c r="M40" s="28"/>
      <c r="N40" s="23"/>
      <c r="O40" s="23"/>
      <c r="P40" s="23"/>
      <c r="Q40" s="23"/>
      <c r="R40" s="23"/>
      <c r="S40" s="23"/>
      <c r="T40" s="23">
        <f>IF(C26="Feedlot",IF(C23="Zebu",C199,IF(C23="Crossbreed",D199)),IF(C26="Pasture",IF(C23="Zebu",IF(C25="Bull",F199,G199),IF(C23="Crossbreed",H199))))</f>
        <v>9.0588235294117663</v>
      </c>
      <c r="U40" s="23"/>
      <c r="V40" s="23"/>
      <c r="W40" s="23"/>
      <c r="X40" s="23"/>
      <c r="Y40" s="23"/>
      <c r="Z40" s="23"/>
      <c r="AA40" s="28"/>
      <c r="AB40" s="28"/>
      <c r="AC40" s="28"/>
      <c r="AD40" s="28"/>
      <c r="AE40" s="28"/>
      <c r="AF40" s="28"/>
      <c r="AG40" s="28"/>
      <c r="AH40" s="28"/>
      <c r="AI40" s="28"/>
    </row>
    <row r="41" spans="1:35" s="19" customFormat="1" ht="26" customHeight="1" x14ac:dyDescent="0.2">
      <c r="A41" s="2"/>
      <c r="B41" s="13" t="s">
        <v>107</v>
      </c>
      <c r="C41" s="14"/>
      <c r="D41" s="2"/>
      <c r="E41" s="86" t="s">
        <v>146</v>
      </c>
      <c r="F41" s="75" t="s">
        <v>22</v>
      </c>
      <c r="G41" s="75" t="s">
        <v>12</v>
      </c>
      <c r="H41" s="79">
        <f t="shared" si="6"/>
        <v>9.7999999999999989</v>
      </c>
      <c r="I41" s="78">
        <f>(11.7*$C$29/1000)/0.568</f>
        <v>7.209507042253521</v>
      </c>
      <c r="J41" s="78">
        <f t="shared" si="7"/>
        <v>-26.433601609657941</v>
      </c>
      <c r="K41" s="29"/>
      <c r="L41" s="29"/>
      <c r="M41" s="28"/>
      <c r="N41" s="23"/>
      <c r="O41" s="23"/>
      <c r="P41" s="23"/>
      <c r="Q41" s="23"/>
      <c r="R41" s="23"/>
      <c r="S41" s="23"/>
      <c r="T41" s="23">
        <f>IF(C26="Feedlot",IF(C23="Zebu",C198,IF(C23="Crossbreed",D198)),IF(C26="Pasture",IF(C23="Zebu",IF(C25="Bull",F198,G198),IF(C23="Crossbreed",H198))))</f>
        <v>8.1703269502423481</v>
      </c>
      <c r="U41" s="23"/>
      <c r="V41" s="23"/>
      <c r="W41" s="23"/>
      <c r="X41" s="23"/>
      <c r="Y41" s="23"/>
      <c r="Z41" s="23"/>
      <c r="AA41" s="28"/>
      <c r="AB41" s="28"/>
      <c r="AC41" s="28"/>
      <c r="AD41" s="28"/>
      <c r="AE41" s="28"/>
      <c r="AF41" s="28"/>
      <c r="AG41" s="28"/>
      <c r="AH41" s="28"/>
      <c r="AI41" s="28"/>
    </row>
    <row r="42" spans="1:35" s="19" customFormat="1" ht="26" customHeight="1" x14ac:dyDescent="0.2">
      <c r="A42" s="2"/>
      <c r="B42" s="13" t="s">
        <v>32</v>
      </c>
      <c r="C42" s="14"/>
      <c r="D42" s="2"/>
      <c r="E42" s="85" t="s">
        <v>147</v>
      </c>
      <c r="F42" s="8" t="s">
        <v>23</v>
      </c>
      <c r="G42" s="8" t="s">
        <v>12</v>
      </c>
      <c r="H42" s="71">
        <f t="shared" si="6"/>
        <v>18.52563792308586</v>
      </c>
      <c r="I42" s="71">
        <f>IF(C23="Zebu",C120,D120)</f>
        <v>18.086685904307476</v>
      </c>
      <c r="J42" s="15">
        <f t="shared" si="7"/>
        <v>-2.3694299791500324</v>
      </c>
      <c r="K42" s="34"/>
      <c r="L42" s="29"/>
      <c r="M42" s="28"/>
      <c r="N42" s="23"/>
      <c r="O42" s="23"/>
      <c r="P42" s="23"/>
      <c r="Q42" s="23"/>
      <c r="R42" s="23"/>
      <c r="S42" s="23"/>
      <c r="T42" s="23">
        <f>IF(C26="Feedlot",IF(C23="Zebu",C203,IF(C23="Crossbreed",D203)),IF(C26="Pasture",IF(C23="Zebu",IF(C25="Bull",F203,G203),IF(C23="Crossbreed",H203))))</f>
        <v>8.2526849999999996</v>
      </c>
      <c r="U42" s="23"/>
      <c r="V42" s="23"/>
      <c r="W42" s="23"/>
      <c r="X42" s="23"/>
      <c r="Y42" s="23"/>
      <c r="Z42" s="23"/>
      <c r="AA42" s="28"/>
      <c r="AB42" s="28"/>
      <c r="AC42" s="28"/>
      <c r="AD42" s="28"/>
      <c r="AE42" s="28"/>
      <c r="AF42" s="28"/>
      <c r="AG42" s="28"/>
      <c r="AH42" s="28"/>
      <c r="AI42" s="28"/>
    </row>
    <row r="43" spans="1:35" s="19" customFormat="1" ht="26" customHeight="1" x14ac:dyDescent="0.2">
      <c r="A43" s="2"/>
      <c r="B43" s="20"/>
      <c r="C43" s="21"/>
      <c r="D43" s="2"/>
      <c r="E43" s="84" t="s">
        <v>148</v>
      </c>
      <c r="F43" s="49" t="s">
        <v>24</v>
      </c>
      <c r="G43" s="49" t="s">
        <v>12</v>
      </c>
      <c r="H43" s="72">
        <f t="shared" si="6"/>
        <v>17.229150479654116</v>
      </c>
      <c r="I43" s="52">
        <f>SUM(I44:I45)</f>
        <v>15.656628752581533</v>
      </c>
      <c r="J43" s="52">
        <f t="shared" si="7"/>
        <v>-9.1270996148624537</v>
      </c>
      <c r="K43" s="29"/>
      <c r="L43" s="29"/>
      <c r="M43" s="28"/>
      <c r="N43" s="23"/>
      <c r="O43" s="23"/>
      <c r="P43" s="23"/>
      <c r="Q43" s="23"/>
      <c r="R43" s="23"/>
      <c r="S43" s="23"/>
      <c r="T43" s="23">
        <f>IF(C26="Feedlot",IF(C23="Zebu",C202,IF(C23="Crossbreed",D202)),IF(C26="Pasture",IF(C23="Zebu",IF(C25="Bull",F202,G202),IF(C23="Crossbreed",H202))))</f>
        <v>6.20235</v>
      </c>
      <c r="U43" s="23"/>
      <c r="V43" s="23"/>
      <c r="W43" s="23"/>
      <c r="X43" s="23"/>
      <c r="Y43" s="23"/>
      <c r="Z43" s="23"/>
      <c r="AA43" s="28"/>
      <c r="AB43" s="28"/>
      <c r="AC43" s="28"/>
      <c r="AD43" s="28"/>
      <c r="AE43" s="28"/>
      <c r="AF43" s="28"/>
      <c r="AG43" s="28"/>
      <c r="AH43" s="28"/>
      <c r="AI43" s="28"/>
    </row>
    <row r="44" spans="1:35" s="19" customFormat="1" ht="26" customHeight="1" x14ac:dyDescent="0.2">
      <c r="A44" s="2"/>
      <c r="B44" s="16" t="s">
        <v>200</v>
      </c>
      <c r="C44" s="14"/>
      <c r="D44" s="2"/>
      <c r="E44" s="85" t="s">
        <v>149</v>
      </c>
      <c r="F44" s="8" t="s">
        <v>25</v>
      </c>
      <c r="G44" s="8" t="s">
        <v>12</v>
      </c>
      <c r="H44" s="67">
        <f t="shared" si="6"/>
        <v>9.0588235294117663</v>
      </c>
      <c r="I44" s="67">
        <f>13.5*$C$29/1000/0.678</f>
        <v>6.9690265486725655</v>
      </c>
      <c r="J44" s="15">
        <f t="shared" si="7"/>
        <v>-23.069187449718445</v>
      </c>
      <c r="K44" s="29"/>
      <c r="L44" s="29"/>
      <c r="M44" s="28"/>
      <c r="N44" s="23"/>
      <c r="O44" s="23"/>
      <c r="P44" s="23"/>
      <c r="Q44" s="23"/>
      <c r="R44" s="23"/>
      <c r="S44" s="23"/>
      <c r="T44" s="23">
        <f>IF(C26="Feedlot",IF(C23="Zebu",C201,IF(C23="Crossbreed",D201)),IF(C26="Pasture",IF(C23="Zebu",IF(C25="Bull",F201,G201),IF(C23="Crossbreed",H201))))</f>
        <v>2.050335</v>
      </c>
      <c r="U44" s="23"/>
      <c r="V44" s="23"/>
      <c r="W44" s="23"/>
      <c r="X44" s="23"/>
      <c r="Y44" s="23"/>
      <c r="Z44" s="23"/>
      <c r="AA44" s="28"/>
      <c r="AB44" s="28"/>
      <c r="AC44" s="28"/>
      <c r="AD44" s="28"/>
      <c r="AE44" s="28"/>
      <c r="AF44" s="28"/>
      <c r="AG44" s="28"/>
      <c r="AH44" s="28"/>
      <c r="AI44" s="28"/>
    </row>
    <row r="45" spans="1:35" s="19" customFormat="1" ht="26" customHeight="1" x14ac:dyDescent="0.2">
      <c r="A45" s="2"/>
      <c r="B45" s="106" t="s">
        <v>229</v>
      </c>
      <c r="C45" s="107"/>
      <c r="D45" s="2"/>
      <c r="E45" s="86" t="s">
        <v>150</v>
      </c>
      <c r="F45" s="75" t="s">
        <v>27</v>
      </c>
      <c r="G45" s="75" t="s">
        <v>12</v>
      </c>
      <c r="H45" s="79">
        <f t="shared" si="6"/>
        <v>8.1703269502423481</v>
      </c>
      <c r="I45" s="78">
        <f>IF(C23="Zebu",C121,D121)</f>
        <v>8.6876022039089662</v>
      </c>
      <c r="J45" s="78">
        <f t="shared" si="7"/>
        <v>6.3311450914614209</v>
      </c>
      <c r="K45" s="34"/>
      <c r="L45" s="29"/>
      <c r="M45" s="28"/>
      <c r="N45" s="23"/>
      <c r="O45" s="23"/>
      <c r="P45" s="23"/>
      <c r="Q45" s="23"/>
      <c r="R45" s="23"/>
      <c r="S45" s="23"/>
      <c r="T45" s="23">
        <f>IF(C26="Feedlot",IF(C23="Zebu",C213,IF(C23="Crossbreed",D213)),IF(C26="Pasture",IF(C23="Zebu",IF(C25="Bull",F213,G213),IF(C23="Crossbreed",H213))))</f>
        <v>39.299052156061521</v>
      </c>
      <c r="U45" s="23"/>
      <c r="V45" s="23"/>
      <c r="W45" s="23"/>
      <c r="X45" s="23"/>
      <c r="Y45" s="23"/>
      <c r="Z45" s="23"/>
      <c r="AA45" s="28"/>
      <c r="AB45" s="28"/>
      <c r="AC45" s="28"/>
      <c r="AD45" s="28"/>
      <c r="AE45" s="28"/>
      <c r="AF45" s="28"/>
      <c r="AG45" s="28"/>
      <c r="AH45" s="28"/>
      <c r="AI45" s="28"/>
    </row>
    <row r="46" spans="1:35" s="19" customFormat="1" ht="26" customHeight="1" x14ac:dyDescent="0.2">
      <c r="A46" s="2"/>
      <c r="B46" s="106"/>
      <c r="C46" s="107"/>
      <c r="D46" s="2"/>
      <c r="E46" s="88" t="s">
        <v>151</v>
      </c>
      <c r="F46" s="53" t="s">
        <v>29</v>
      </c>
      <c r="G46" s="53" t="s">
        <v>12</v>
      </c>
      <c r="H46" s="69">
        <f t="shared" si="6"/>
        <v>8.2526849999999996</v>
      </c>
      <c r="I46" s="69">
        <f>SUM(I47:I48)</f>
        <v>6.5555644174207472</v>
      </c>
      <c r="J46" s="54">
        <f t="shared" si="7"/>
        <v>-20.564465777855965</v>
      </c>
      <c r="K46" s="29"/>
      <c r="L46" s="29"/>
      <c r="M46" s="28"/>
      <c r="N46" s="23"/>
      <c r="O46" s="23"/>
      <c r="P46" s="23"/>
      <c r="Q46" s="23"/>
      <c r="R46" s="23"/>
      <c r="S46" s="23"/>
      <c r="T46" s="23">
        <f>IF(C26="Feedlot",IF(C23="Zebu",C214,IF(C23="Crossbreed",D214)),IF(C26="Pasture",IF(C23="Zebu",IF(C25="Bull",F214,G214),IF(C23="Crossbreed",H214))))</f>
        <v>36.880561078640262</v>
      </c>
      <c r="U46" s="23"/>
      <c r="V46" s="23"/>
      <c r="W46" s="23"/>
      <c r="X46" s="23"/>
      <c r="Y46" s="23"/>
      <c r="Z46" s="23"/>
      <c r="AA46" s="28"/>
      <c r="AB46" s="28"/>
      <c r="AC46" s="28"/>
      <c r="AD46" s="28"/>
      <c r="AE46" s="28"/>
      <c r="AF46" s="28"/>
      <c r="AG46" s="28"/>
      <c r="AH46" s="28"/>
      <c r="AI46" s="28"/>
    </row>
    <row r="47" spans="1:35" s="19" customFormat="1" ht="26" customHeight="1" x14ac:dyDescent="0.2">
      <c r="A47" s="2"/>
      <c r="B47" s="106"/>
      <c r="C47" s="107"/>
      <c r="D47" s="2"/>
      <c r="E47" s="86" t="s">
        <v>152</v>
      </c>
      <c r="F47" s="75" t="s">
        <v>31</v>
      </c>
      <c r="G47" s="75" t="s">
        <v>12</v>
      </c>
      <c r="H47" s="76">
        <f t="shared" si="6"/>
        <v>6.20235</v>
      </c>
      <c r="I47" s="77">
        <f>5.9*$C$29/1000/0.355</f>
        <v>5.816901408450704</v>
      </c>
      <c r="J47" s="78">
        <f t="shared" si="7"/>
        <v>-6.214557249257072</v>
      </c>
      <c r="K47" s="29"/>
      <c r="L47" s="29"/>
      <c r="M47" s="28"/>
      <c r="N47" s="25"/>
      <c r="O47" s="25"/>
      <c r="P47" s="25"/>
      <c r="Q47" s="25"/>
      <c r="R47" s="25"/>
      <c r="S47" s="25"/>
      <c r="T47" s="23">
        <f>IF(C26="Feedlot",IF(C23="Zebu",C208,IF(C23="Crossbreed",D208)),IF(C26="Pasture",IF(C23="Zebu",IF(C25="Bull",F208,G208),IF(C23="Crossbreed",H208))))</f>
        <v>2.4184910774212613</v>
      </c>
      <c r="U47" s="23"/>
      <c r="V47" s="23"/>
      <c r="W47" s="23"/>
      <c r="X47" s="23"/>
      <c r="Y47" s="23"/>
      <c r="Z47" s="23"/>
      <c r="AA47" s="28"/>
      <c r="AB47" s="28"/>
      <c r="AC47" s="28"/>
      <c r="AD47" s="28"/>
      <c r="AE47" s="28"/>
      <c r="AF47" s="28"/>
      <c r="AG47" s="28"/>
      <c r="AH47" s="28"/>
      <c r="AI47" s="28"/>
    </row>
    <row r="48" spans="1:35" s="19" customFormat="1" ht="26" customHeight="1" x14ac:dyDescent="0.2">
      <c r="A48" s="2"/>
      <c r="B48" s="58"/>
      <c r="C48" s="59"/>
      <c r="D48" s="2"/>
      <c r="E48" s="85" t="s">
        <v>153</v>
      </c>
      <c r="F48" s="8" t="s">
        <v>33</v>
      </c>
      <c r="G48" s="8" t="s">
        <v>12</v>
      </c>
      <c r="H48" s="67">
        <f t="shared" si="6"/>
        <v>2.050335</v>
      </c>
      <c r="I48" s="67">
        <f>IF(C23="Zebu",C122,D122)</f>
        <v>0.73866300897004333</v>
      </c>
      <c r="J48" s="15">
        <f t="shared" si="7"/>
        <v>-63.973545348928674</v>
      </c>
      <c r="K48" s="29"/>
      <c r="L48" s="29"/>
      <c r="M48" s="28"/>
      <c r="N48" s="25"/>
      <c r="O48" s="25"/>
      <c r="P48" s="25"/>
      <c r="Q48" s="25"/>
      <c r="R48" s="25"/>
      <c r="S48" s="23"/>
      <c r="T48" s="23">
        <f>IF(C26="Feedlot",IF(C23="Zebu",C207,IF(C23="Crossbreed",D207)),IF(C26="Pasture",IF(C23="Zebu",IF(C25="Bull",F207,G207),IF(C23="Crossbreed",H207))))</f>
        <v>3.8405723076923071</v>
      </c>
      <c r="U48" s="23"/>
      <c r="V48" s="23"/>
      <c r="W48" s="23"/>
      <c r="X48" s="23"/>
      <c r="Y48" s="23"/>
      <c r="Z48" s="23"/>
      <c r="AA48" s="28"/>
      <c r="AB48" s="28"/>
      <c r="AC48" s="28"/>
      <c r="AD48" s="28"/>
      <c r="AE48" s="28"/>
      <c r="AF48" s="28"/>
      <c r="AG48" s="28"/>
      <c r="AH48" s="28"/>
      <c r="AI48" s="28"/>
    </row>
    <row r="49" spans="1:35" s="19" customFormat="1" ht="26" customHeight="1" x14ac:dyDescent="0.2">
      <c r="A49" s="2"/>
      <c r="B49" s="16" t="s">
        <v>201</v>
      </c>
      <c r="C49" s="14"/>
      <c r="D49" s="2"/>
      <c r="E49" s="84" t="s">
        <v>154</v>
      </c>
      <c r="F49" s="49" t="s">
        <v>34</v>
      </c>
      <c r="G49" s="49" t="s">
        <v>12</v>
      </c>
      <c r="H49" s="72">
        <f t="shared" si="6"/>
        <v>39.299052156061521</v>
      </c>
      <c r="I49" s="52">
        <f>SUM(I50:I51)</f>
        <v>21.201221722102677</v>
      </c>
      <c r="J49" s="52">
        <f t="shared" si="7"/>
        <v>-46.051569798910322</v>
      </c>
      <c r="K49" s="29"/>
      <c r="L49" s="29"/>
      <c r="M49" s="28"/>
      <c r="N49" s="25"/>
      <c r="O49" s="25"/>
      <c r="P49" s="25"/>
      <c r="Q49" s="25"/>
      <c r="R49" s="25"/>
      <c r="S49" s="23"/>
      <c r="T49" s="23">
        <f>IF(C26="Feedlot",IF(C23="Zebu",C206,IF(C23="Crossbreed",D206)),IF(C26="Pasture",IF(C23="Zebu",IF(C25="Bull",F206,G206),IF(C23="Crossbreed",H206))))</f>
        <v>2.3132307692307688</v>
      </c>
      <c r="U49" s="23"/>
      <c r="V49" s="23"/>
      <c r="W49" s="23"/>
      <c r="X49" s="23"/>
      <c r="Y49" s="23"/>
      <c r="Z49" s="23"/>
      <c r="AA49" s="28"/>
      <c r="AB49" s="28"/>
      <c r="AC49" s="28"/>
      <c r="AD49" s="28"/>
      <c r="AE49" s="28"/>
      <c r="AF49" s="28"/>
      <c r="AG49" s="28"/>
      <c r="AH49" s="28"/>
      <c r="AI49" s="28"/>
    </row>
    <row r="50" spans="1:35" s="19" customFormat="1" ht="26" customHeight="1" x14ac:dyDescent="0.2">
      <c r="A50" s="2"/>
      <c r="B50" s="13" t="s">
        <v>43</v>
      </c>
      <c r="C50" s="14"/>
      <c r="D50" s="2"/>
      <c r="E50" s="85" t="s">
        <v>155</v>
      </c>
      <c r="F50" s="8" t="s">
        <v>35</v>
      </c>
      <c r="G50" s="8" t="s">
        <v>12</v>
      </c>
      <c r="H50" s="71">
        <f t="shared" si="6"/>
        <v>36.880561078640262</v>
      </c>
      <c r="I50" s="71">
        <f>23.5*$C$29/1000/0.484</f>
        <v>16.993801652892561</v>
      </c>
      <c r="J50" s="15">
        <f t="shared" si="7"/>
        <v>-53.922063125187414</v>
      </c>
      <c r="K50" s="29"/>
      <c r="L50" s="29"/>
      <c r="M50" s="28"/>
      <c r="N50" s="23"/>
      <c r="O50" s="23"/>
      <c r="P50" s="23"/>
      <c r="Q50" s="23"/>
      <c r="R50" s="23"/>
      <c r="S50" s="23"/>
      <c r="T50" s="23">
        <f>IF(C26="Feedlot",IF(C23="Zebu",IF(C25="Heifer",C205,C204),IF(C25="Heifer",D205,D204)),IF(C25="Heifer",F205,F204))</f>
        <v>1.5273415384615385</v>
      </c>
      <c r="U50" s="23"/>
      <c r="V50" s="23"/>
      <c r="W50" s="23"/>
      <c r="X50" s="23"/>
      <c r="Y50" s="23"/>
      <c r="Z50" s="23"/>
      <c r="AA50" s="28"/>
      <c r="AB50" s="28"/>
      <c r="AC50" s="28"/>
      <c r="AD50" s="28"/>
      <c r="AE50" s="28"/>
      <c r="AF50" s="28"/>
      <c r="AG50" s="28"/>
      <c r="AH50" s="28"/>
      <c r="AI50" s="28"/>
    </row>
    <row r="51" spans="1:35" s="19" customFormat="1" ht="26" customHeight="1" x14ac:dyDescent="0.2">
      <c r="A51" s="2"/>
      <c r="B51" s="13" t="s">
        <v>45</v>
      </c>
      <c r="C51" s="14"/>
      <c r="D51" s="2"/>
      <c r="E51" s="86" t="s">
        <v>156</v>
      </c>
      <c r="F51" s="75" t="s">
        <v>36</v>
      </c>
      <c r="G51" s="75" t="s">
        <v>12</v>
      </c>
      <c r="H51" s="76">
        <f t="shared" si="6"/>
        <v>2.4184910774212613</v>
      </c>
      <c r="I51" s="77">
        <f>IF(C23="Zebu",C124,D124)</f>
        <v>4.2074200692101158</v>
      </c>
      <c r="J51" s="78">
        <f t="shared" si="7"/>
        <v>73.968806769232188</v>
      </c>
      <c r="K51" s="29"/>
      <c r="L51" s="29"/>
      <c r="M51" s="28"/>
      <c r="N51" s="23"/>
      <c r="O51" s="23"/>
      <c r="P51" s="23"/>
      <c r="Q51" s="23"/>
      <c r="R51" s="23"/>
      <c r="S51" s="23"/>
      <c r="T51" s="23">
        <f>0.0015*T9*1000</f>
        <v>11.483977545369378</v>
      </c>
      <c r="U51" s="23"/>
      <c r="V51" s="23"/>
      <c r="W51" s="23"/>
      <c r="X51" s="23"/>
      <c r="Y51" s="23"/>
      <c r="Z51" s="23"/>
      <c r="AA51" s="28"/>
      <c r="AB51" s="28"/>
      <c r="AC51" s="28"/>
      <c r="AD51" s="28"/>
      <c r="AE51" s="28"/>
      <c r="AF51" s="28"/>
      <c r="AG51" s="28"/>
      <c r="AH51" s="28"/>
      <c r="AI51" s="28"/>
    </row>
    <row r="52" spans="1:35" s="19" customFormat="1" ht="26" customHeight="1" x14ac:dyDescent="0.2">
      <c r="A52" s="2"/>
      <c r="B52" s="13" t="s">
        <v>47</v>
      </c>
      <c r="C52" s="14"/>
      <c r="D52" s="2"/>
      <c r="E52" s="88" t="s">
        <v>157</v>
      </c>
      <c r="F52" s="53" t="s">
        <v>37</v>
      </c>
      <c r="G52" s="53" t="s">
        <v>12</v>
      </c>
      <c r="H52" s="68">
        <f t="shared" si="6"/>
        <v>3.8405723076923071</v>
      </c>
      <c r="I52" s="68">
        <f>SUM(I53:I54)</f>
        <v>9.6315277312070968</v>
      </c>
      <c r="J52" s="93">
        <f t="shared" si="7"/>
        <v>150.78365825624601</v>
      </c>
      <c r="K52" s="29"/>
      <c r="L52" s="29"/>
      <c r="M52" s="28"/>
      <c r="N52" s="23"/>
      <c r="O52" s="23"/>
      <c r="P52" s="23"/>
      <c r="Q52" s="23"/>
      <c r="R52" s="23"/>
      <c r="S52" s="23"/>
      <c r="T52" s="23">
        <f>$T$9*0.1</f>
        <v>0.76559850302462529</v>
      </c>
      <c r="U52" s="23"/>
      <c r="V52" s="23"/>
      <c r="W52" s="23"/>
      <c r="X52" s="23"/>
      <c r="Y52" s="23"/>
      <c r="Z52" s="23"/>
      <c r="AA52" s="28"/>
      <c r="AB52" s="28"/>
      <c r="AC52" s="28"/>
      <c r="AD52" s="28"/>
      <c r="AE52" s="28"/>
      <c r="AF52" s="28"/>
      <c r="AG52" s="28"/>
      <c r="AH52" s="28"/>
      <c r="AI52" s="28"/>
    </row>
    <row r="53" spans="1:35" s="19" customFormat="1" ht="26" customHeight="1" thickBot="1" x14ac:dyDescent="0.25">
      <c r="A53" s="2"/>
      <c r="B53" s="17" t="s">
        <v>49</v>
      </c>
      <c r="C53" s="18"/>
      <c r="D53" s="2"/>
      <c r="E53" s="86" t="s">
        <v>158</v>
      </c>
      <c r="F53" s="75" t="s">
        <v>38</v>
      </c>
      <c r="G53" s="75" t="s">
        <v>12</v>
      </c>
      <c r="H53" s="76">
        <f t="shared" si="6"/>
        <v>2.3132307692307688</v>
      </c>
      <c r="I53" s="77">
        <f>6.3*$C$29/1000/0.371</f>
        <v>5.9433962264150946</v>
      </c>
      <c r="J53" s="81">
        <f t="shared" si="7"/>
        <v>156.93053652366402</v>
      </c>
      <c r="K53" s="29"/>
      <c r="L53" s="29"/>
      <c r="M53" s="28"/>
      <c r="N53" s="23"/>
      <c r="O53" s="23"/>
      <c r="P53" s="23"/>
      <c r="Q53" s="23"/>
      <c r="R53" s="23"/>
      <c r="S53" s="23"/>
      <c r="T53" s="23">
        <f>$T$9*10</f>
        <v>76.559850302462522</v>
      </c>
      <c r="U53" s="23"/>
      <c r="V53" s="23"/>
      <c r="W53" s="23"/>
      <c r="X53" s="23"/>
      <c r="Y53" s="23"/>
      <c r="Z53" s="23"/>
      <c r="AA53" s="28"/>
      <c r="AB53" s="28"/>
      <c r="AC53" s="28"/>
      <c r="AD53" s="28"/>
      <c r="AE53" s="28"/>
      <c r="AF53" s="28"/>
      <c r="AG53" s="28"/>
      <c r="AH53" s="28"/>
      <c r="AI53" s="28"/>
    </row>
    <row r="54" spans="1:35" s="19" customFormat="1" ht="26" customHeight="1" x14ac:dyDescent="0.2">
      <c r="A54" s="2"/>
      <c r="D54" s="2"/>
      <c r="E54" s="85" t="s">
        <v>159</v>
      </c>
      <c r="F54" s="8" t="s">
        <v>39</v>
      </c>
      <c r="G54" s="8" t="s">
        <v>12</v>
      </c>
      <c r="H54" s="67">
        <f t="shared" si="6"/>
        <v>1.5273415384615385</v>
      </c>
      <c r="I54" s="67">
        <f>IF(C23="Zebu",C123,D123)</f>
        <v>3.6881315047920031</v>
      </c>
      <c r="J54" s="94">
        <f t="shared" si="7"/>
        <v>141.47392131474317</v>
      </c>
      <c r="K54" s="29"/>
      <c r="L54" s="29"/>
      <c r="M54" s="28"/>
      <c r="N54" s="23"/>
      <c r="O54" s="23"/>
      <c r="P54" s="23"/>
      <c r="Q54" s="23"/>
      <c r="R54" s="23"/>
      <c r="S54" s="23"/>
      <c r="T54" s="23">
        <f>$T$9*0.5</f>
        <v>3.827992515123126</v>
      </c>
      <c r="U54" s="23"/>
      <c r="V54" s="23"/>
      <c r="W54" s="23"/>
      <c r="X54" s="23"/>
      <c r="Y54" s="23"/>
      <c r="Z54" s="23"/>
      <c r="AA54" s="28"/>
      <c r="AB54" s="28"/>
      <c r="AC54" s="28"/>
      <c r="AD54" s="28"/>
      <c r="AE54" s="28"/>
      <c r="AF54" s="28"/>
      <c r="AG54" s="28"/>
      <c r="AH54" s="28"/>
      <c r="AI54" s="28"/>
    </row>
    <row r="55" spans="1:35" s="19" customFormat="1" ht="26" customHeight="1" x14ac:dyDescent="0.2">
      <c r="A55" s="2"/>
      <c r="D55" s="2"/>
      <c r="E55" s="84" t="s">
        <v>160</v>
      </c>
      <c r="F55" s="49" t="s">
        <v>40</v>
      </c>
      <c r="G55" s="49" t="s">
        <v>12</v>
      </c>
      <c r="H55" s="72">
        <f t="shared" si="6"/>
        <v>11.483977545369378</v>
      </c>
      <c r="I55" s="52">
        <f>(((10.4*$C$29)/1000)+($I$11*(0.03*$I$10^0.89)))/0.773</f>
        <v>10.649442831569333</v>
      </c>
      <c r="J55" s="52">
        <f t="shared" si="7"/>
        <v>-7.2669483243334057</v>
      </c>
      <c r="K55" s="29"/>
      <c r="L55" s="29"/>
      <c r="M55" s="28"/>
      <c r="N55" s="23"/>
      <c r="O55" s="23"/>
      <c r="P55" s="23"/>
      <c r="Q55" s="23"/>
      <c r="R55" s="23"/>
      <c r="S55" s="23"/>
      <c r="T55" s="23">
        <f>$T$9*50</f>
        <v>382.79925151231259</v>
      </c>
      <c r="U55" s="23"/>
      <c r="V55" s="23"/>
      <c r="W55" s="23"/>
      <c r="X55" s="23"/>
      <c r="Y55" s="23"/>
      <c r="Z55" s="23"/>
      <c r="AA55" s="28"/>
      <c r="AB55" s="28"/>
      <c r="AC55" s="28"/>
      <c r="AD55" s="28"/>
      <c r="AE55" s="28"/>
      <c r="AF55" s="28"/>
      <c r="AG55" s="28"/>
      <c r="AH55" s="28"/>
      <c r="AI55" s="28"/>
    </row>
    <row r="56" spans="1:35" s="19" customFormat="1" ht="26" customHeight="1" x14ac:dyDescent="0.2">
      <c r="A56" s="2"/>
      <c r="D56" s="2"/>
      <c r="E56" s="88" t="s">
        <v>161</v>
      </c>
      <c r="F56" s="53" t="s">
        <v>41</v>
      </c>
      <c r="G56" s="53" t="s">
        <v>42</v>
      </c>
      <c r="H56" s="68">
        <f t="shared" si="6"/>
        <v>0.76559850302462529</v>
      </c>
      <c r="I56" s="68">
        <f>(((13.5*$C$29)/1000)+($I$11*(0.045*$I$10^-0.023)))/0.868</f>
        <v>5.4873442089446174</v>
      </c>
      <c r="J56" s="93">
        <f t="shared" si="7"/>
        <v>616.73915077758693</v>
      </c>
      <c r="K56" s="29"/>
      <c r="L56" s="29"/>
      <c r="M56" s="28"/>
      <c r="N56" s="23"/>
      <c r="O56" s="23"/>
      <c r="P56" s="23"/>
      <c r="Q56" s="23"/>
      <c r="R56" s="23"/>
      <c r="S56" s="23"/>
      <c r="T56" s="23">
        <f>$T$9*20</f>
        <v>153.11970060492504</v>
      </c>
      <c r="U56" s="23"/>
      <c r="V56" s="23"/>
      <c r="W56" s="23"/>
      <c r="X56" s="23"/>
      <c r="Y56" s="23"/>
      <c r="Z56" s="23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 s="19" customFormat="1" ht="26" customHeight="1" x14ac:dyDescent="0.2">
      <c r="A57" s="2"/>
      <c r="D57" s="2"/>
      <c r="E57" s="84" t="s">
        <v>162</v>
      </c>
      <c r="F57" s="49" t="s">
        <v>44</v>
      </c>
      <c r="G57" s="49" t="s">
        <v>42</v>
      </c>
      <c r="H57" s="72">
        <f t="shared" si="6"/>
        <v>76.559850302462522</v>
      </c>
      <c r="I57" s="52">
        <f>(((95.6*$C$29)/1000)+($I$11*(1.25*$I$10^0.33)))/0.735</f>
        <v>56.249989176661714</v>
      </c>
      <c r="J57" s="52">
        <f t="shared" si="7"/>
        <v>-26.528083643794098</v>
      </c>
      <c r="K57" s="29"/>
      <c r="L57" s="29"/>
      <c r="M57" s="28"/>
      <c r="N57" s="23"/>
      <c r="O57" s="23"/>
      <c r="P57" s="23"/>
      <c r="Q57" s="23"/>
      <c r="R57" s="23"/>
      <c r="S57" s="23"/>
      <c r="T57" s="23">
        <f>$T$9*0.1</f>
        <v>0.76559850302462529</v>
      </c>
      <c r="U57" s="23"/>
      <c r="V57" s="23"/>
      <c r="W57" s="23"/>
      <c r="X57" s="23"/>
      <c r="Y57" s="23"/>
      <c r="Z57" s="23"/>
      <c r="AA57" s="28"/>
      <c r="AB57" s="28"/>
      <c r="AC57" s="28"/>
      <c r="AD57" s="28"/>
      <c r="AE57" s="28"/>
      <c r="AF57" s="28"/>
      <c r="AG57" s="28"/>
      <c r="AH57" s="28"/>
      <c r="AI57" s="28"/>
    </row>
    <row r="58" spans="1:35" s="19" customFormat="1" ht="26" customHeight="1" x14ac:dyDescent="0.2">
      <c r="A58" s="2"/>
      <c r="D58" s="4"/>
      <c r="E58" s="88" t="s">
        <v>232</v>
      </c>
      <c r="F58" s="53" t="s">
        <v>233</v>
      </c>
      <c r="G58" s="53" t="s">
        <v>42</v>
      </c>
      <c r="H58" s="68" t="s">
        <v>236</v>
      </c>
      <c r="I58" s="69">
        <f>((22.9*C29/1000)+(I11*(0.23*I10^0.61)))/0.784</f>
        <v>19.338372162141912</v>
      </c>
      <c r="J58" s="54" t="s">
        <v>236</v>
      </c>
      <c r="K58" s="29"/>
      <c r="L58" s="29"/>
      <c r="M58" s="28"/>
      <c r="N58" s="23"/>
      <c r="O58" s="23"/>
      <c r="P58" s="23"/>
      <c r="Q58" s="23"/>
      <c r="R58" s="23"/>
      <c r="S58" s="23"/>
      <c r="T58" s="23">
        <f>$T$9*30</f>
        <v>229.67955090738755</v>
      </c>
      <c r="U58" s="23"/>
      <c r="V58" s="23"/>
      <c r="W58" s="23"/>
      <c r="X58" s="23"/>
      <c r="Y58" s="23"/>
      <c r="Z58" s="23"/>
      <c r="AA58" s="28"/>
      <c r="AB58" s="28"/>
      <c r="AC58" s="28"/>
      <c r="AD58" s="28"/>
      <c r="AE58" s="28"/>
      <c r="AF58" s="28"/>
      <c r="AG58" s="28"/>
      <c r="AH58" s="28"/>
      <c r="AI58" s="28"/>
    </row>
    <row r="59" spans="1:35" s="19" customFormat="1" ht="26" customHeight="1" x14ac:dyDescent="0.2">
      <c r="A59" s="2"/>
      <c r="D59" s="4"/>
      <c r="E59" s="84" t="s">
        <v>163</v>
      </c>
      <c r="F59" s="49" t="s">
        <v>46</v>
      </c>
      <c r="G59" s="49" t="s">
        <v>42</v>
      </c>
      <c r="H59" s="50">
        <f>IF($C$23="Crossbreed",IF($C$24="Dairy","-",T54),T54)</f>
        <v>3.827992515123126</v>
      </c>
      <c r="I59" s="51">
        <f>T54</f>
        <v>3.827992515123126</v>
      </c>
      <c r="J59" s="52">
        <f>IF($C$23="Crossbreed",IF($C$24="Dairy","-",(I59-H59)/T54*100),(I59-H59)/T54*100)</f>
        <v>0</v>
      </c>
      <c r="K59" s="29"/>
      <c r="L59" s="29"/>
      <c r="M59" s="28"/>
      <c r="N59" s="23"/>
      <c r="O59" s="23"/>
      <c r="P59" s="23"/>
      <c r="Q59" s="23"/>
      <c r="R59" s="23"/>
      <c r="S59" s="23"/>
      <c r="T59" s="23">
        <f>0.96*C29</f>
        <v>336</v>
      </c>
      <c r="U59" s="23"/>
      <c r="V59" s="23"/>
      <c r="W59" s="23"/>
      <c r="X59" s="23"/>
      <c r="Y59" s="23"/>
      <c r="Z59" s="23"/>
      <c r="AA59" s="28"/>
      <c r="AB59" s="28"/>
      <c r="AC59" s="28"/>
      <c r="AD59" s="28"/>
      <c r="AE59" s="28"/>
      <c r="AF59" s="28"/>
      <c r="AG59" s="28"/>
      <c r="AH59" s="28"/>
      <c r="AI59" s="28"/>
    </row>
    <row r="60" spans="1:35" s="19" customFormat="1" ht="26" customHeight="1" x14ac:dyDescent="0.2">
      <c r="A60" s="2"/>
      <c r="B60" s="3"/>
      <c r="C60" s="4"/>
      <c r="D60" s="4"/>
      <c r="E60" s="88" t="s">
        <v>164</v>
      </c>
      <c r="F60" s="53" t="s">
        <v>48</v>
      </c>
      <c r="G60" s="53" t="s">
        <v>42</v>
      </c>
      <c r="H60" s="70">
        <f>IF($C$23="Crossbreed",IF($C$24="Dairy","-",T55),T55)</f>
        <v>382.79925151231259</v>
      </c>
      <c r="I60" s="70">
        <f>((2.942*$C$29)+($I$11*(10.4*$I$10^0.24)))/0.734</f>
        <v>1456.3865355908467</v>
      </c>
      <c r="J60" s="93">
        <f>IF($C$23="Crossbreed",IF($C$24="Dairy","-",(I60-H60)/T55*100),(I60-H60)/T55*100)</f>
        <v>280.45699667309896</v>
      </c>
      <c r="K60" s="23"/>
      <c r="L60" s="23"/>
      <c r="M60" s="28"/>
      <c r="N60" s="23"/>
      <c r="O60" s="23"/>
      <c r="P60" s="23"/>
      <c r="Q60" s="23"/>
      <c r="R60" s="23"/>
      <c r="S60" s="23"/>
      <c r="T60" s="23">
        <f>IF(C26="Feedlot",IF(C23="Zebu",C145,D145),F145)</f>
        <v>300.72000000000003</v>
      </c>
      <c r="U60" s="23"/>
      <c r="V60" s="23"/>
      <c r="W60" s="23"/>
      <c r="X60" s="23"/>
      <c r="Y60" s="23"/>
      <c r="Z60" s="23"/>
      <c r="AA60" s="28"/>
      <c r="AB60" s="28"/>
      <c r="AC60" s="28"/>
      <c r="AD60" s="28"/>
      <c r="AE60" s="28"/>
      <c r="AF60" s="28"/>
      <c r="AG60" s="28"/>
      <c r="AH60" s="28"/>
      <c r="AI60" s="28"/>
    </row>
    <row r="61" spans="1:35" s="19" customFormat="1" ht="26" customHeight="1" x14ac:dyDescent="0.2">
      <c r="A61" s="2"/>
      <c r="B61" s="3"/>
      <c r="C61" s="4"/>
      <c r="D61" s="4"/>
      <c r="E61" s="84" t="s">
        <v>165</v>
      </c>
      <c r="F61" s="49" t="s">
        <v>50</v>
      </c>
      <c r="G61" s="49" t="s">
        <v>42</v>
      </c>
      <c r="H61" s="73">
        <f>IF($C$23="Crossbreed",IF($C$24="Dairy","-",T56),T56)</f>
        <v>153.11970060492504</v>
      </c>
      <c r="I61" s="74">
        <f>(((184.9*$C$29)/1000)+($I$11*(0.07*$I$10^0.8)))/0.439</f>
        <v>162.03355726623079</v>
      </c>
      <c r="J61" s="51">
        <f>IF($C$23="Crossbreed",IF($C$24="Dairy","-",(I61-H61)/T56*100),(I61-H61)/T56*100)</f>
        <v>5.8214956181928637</v>
      </c>
      <c r="K61" s="23"/>
      <c r="L61" s="23"/>
      <c r="M61" s="28"/>
      <c r="N61" s="23"/>
      <c r="O61" s="23"/>
      <c r="P61" s="23"/>
      <c r="Q61" s="23"/>
      <c r="R61" s="23"/>
      <c r="S61" s="23"/>
      <c r="T61" s="23">
        <f>IF(C26="Feedlot",IF(C23="Zebu",C146,D146),F146)</f>
        <v>0.96599999999999997</v>
      </c>
      <c r="U61" s="23"/>
      <c r="V61" s="23"/>
      <c r="W61" s="23"/>
      <c r="X61" s="23"/>
      <c r="Y61" s="23"/>
      <c r="Z61" s="23"/>
      <c r="AA61" s="28"/>
      <c r="AB61" s="28"/>
      <c r="AC61" s="28"/>
      <c r="AD61" s="28"/>
      <c r="AE61" s="28"/>
      <c r="AF61" s="28"/>
      <c r="AG61" s="28"/>
      <c r="AH61" s="28"/>
      <c r="AI61" s="28"/>
    </row>
    <row r="62" spans="1:35" s="19" customFormat="1" ht="26" customHeight="1" x14ac:dyDescent="0.2">
      <c r="A62" s="2"/>
      <c r="B62" s="3"/>
      <c r="C62" s="4"/>
      <c r="D62" s="4"/>
      <c r="E62" s="88" t="s">
        <v>234</v>
      </c>
      <c r="F62" s="53" t="s">
        <v>235</v>
      </c>
      <c r="G62" s="53" t="s">
        <v>42</v>
      </c>
      <c r="H62" s="68" t="s">
        <v>236</v>
      </c>
      <c r="I62" s="68">
        <f>((3.27*C29/1000)+(I11*(0.0035*(I10^0.4063))))/0.497</f>
        <v>2.371404955437995</v>
      </c>
      <c r="J62" s="54" t="s">
        <v>236</v>
      </c>
      <c r="K62" s="29"/>
      <c r="L62" s="29"/>
      <c r="M62" s="28"/>
      <c r="N62" s="23"/>
      <c r="O62" s="23"/>
      <c r="P62" s="23"/>
      <c r="Q62" s="23"/>
      <c r="R62" s="23"/>
      <c r="S62" s="23"/>
      <c r="T62" s="23">
        <f>IF(C26="Feedlot",IF(C23="Zebu",C147,D147),F147)</f>
        <v>290.80615384615385</v>
      </c>
      <c r="U62" s="23"/>
      <c r="V62" s="23"/>
      <c r="W62" s="23"/>
      <c r="X62" s="23"/>
      <c r="Y62" s="23"/>
      <c r="Z62" s="23"/>
      <c r="AA62" s="28"/>
      <c r="AB62" s="28"/>
      <c r="AC62" s="28"/>
      <c r="AD62" s="28"/>
      <c r="AE62" s="28"/>
      <c r="AF62" s="28"/>
      <c r="AG62" s="28"/>
      <c r="AH62" s="28"/>
      <c r="AI62" s="28"/>
    </row>
    <row r="63" spans="1:35" ht="26" customHeight="1" x14ac:dyDescent="0.15">
      <c r="A63" s="2"/>
      <c r="B63" s="3"/>
      <c r="C63" s="4"/>
      <c r="D63" s="4"/>
      <c r="E63" s="84" t="s">
        <v>166</v>
      </c>
      <c r="F63" s="49" t="s">
        <v>51</v>
      </c>
      <c r="G63" s="49" t="s">
        <v>42</v>
      </c>
      <c r="H63" s="50">
        <f>IF($C$23="Crossbreed",IF($C$24="Dairy","-",T57),T57)</f>
        <v>0.76559850302462529</v>
      </c>
      <c r="I63" s="51">
        <f>(((3.72*$C$29)/1000)+($I$11*(1.07*$I$10^-0.07)))/0.487</f>
        <v>4.0937083113604942</v>
      </c>
      <c r="J63" s="74">
        <f>IF($C$23="Crossbreed",IF($C$24="Dairy","-",(I63-H63)/T57*100),(I63-H63)/T57*100)</f>
        <v>434.70693779933123</v>
      </c>
      <c r="K63" s="29"/>
      <c r="L63" s="29"/>
      <c r="M63" s="29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35" s="62" customFormat="1" ht="26" customHeight="1" x14ac:dyDescent="0.25">
      <c r="A64" s="60"/>
      <c r="B64" s="92"/>
      <c r="C64" s="60"/>
      <c r="D64" s="60"/>
      <c r="E64" s="88" t="s">
        <v>167</v>
      </c>
      <c r="F64" s="53" t="s">
        <v>52</v>
      </c>
      <c r="G64" s="53" t="s">
        <v>42</v>
      </c>
      <c r="H64" s="68">
        <f>IF($C$23="Crossbreed",IF($C$24="Dairy","-",T58),T58)</f>
        <v>229.67955090738755</v>
      </c>
      <c r="I64" s="70">
        <f>(((334.4*$C$29)/1000)+($I$11*(1.16*$I$10^0.86)))/0.668</f>
        <v>399.26958082275183</v>
      </c>
      <c r="J64" s="54">
        <f>IF($C$23="Crossbreed",IF($C$24="Dairy","-",(I64-H64)/T58*100),(I64-H64)/T58*100)</f>
        <v>73.837670461027315</v>
      </c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6"/>
      <c r="AB64" s="36"/>
      <c r="AC64" s="36"/>
      <c r="AD64" s="36"/>
      <c r="AE64" s="36"/>
      <c r="AF64" s="36"/>
      <c r="AG64" s="36"/>
      <c r="AH64" s="36"/>
      <c r="AI64" s="36"/>
    </row>
    <row r="65" spans="1:26" s="36" customFormat="1" ht="23" x14ac:dyDescent="0.25">
      <c r="A65" s="35"/>
      <c r="B65" s="42"/>
      <c r="C65" s="35"/>
      <c r="D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s="36" customFormat="1" ht="23" x14ac:dyDescent="0.25">
      <c r="A66" s="35"/>
      <c r="B66" s="42"/>
      <c r="C66" s="35"/>
      <c r="D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s="36" customFormat="1" ht="23" x14ac:dyDescent="0.25">
      <c r="A67" s="35"/>
      <c r="B67" s="42"/>
      <c r="C67" s="35"/>
      <c r="D67" s="35"/>
      <c r="E67" s="35"/>
      <c r="F67" s="24"/>
      <c r="G67" s="82"/>
      <c r="H67" s="38"/>
      <c r="I67" s="38"/>
      <c r="J67" s="43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s="36" customFormat="1" ht="23" x14ac:dyDescent="0.25">
      <c r="A68" s="35"/>
      <c r="B68" s="42"/>
      <c r="C68" s="35"/>
      <c r="D68" s="35"/>
      <c r="E68" s="35"/>
      <c r="F68" s="35"/>
      <c r="G68" s="35"/>
      <c r="H68" s="35"/>
      <c r="I68" s="82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s="36" customFormat="1" ht="23" x14ac:dyDescent="0.25">
      <c r="A69" s="35"/>
      <c r="B69" s="42"/>
      <c r="C69" s="35"/>
      <c r="D69" s="35"/>
      <c r="E69" s="35"/>
      <c r="F69" s="35"/>
      <c r="G69" s="35"/>
      <c r="H69" s="35"/>
      <c r="I69" s="82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s="36" customFormat="1" ht="23" x14ac:dyDescent="0.25">
      <c r="A70" s="35"/>
      <c r="B70" s="96" t="s">
        <v>207</v>
      </c>
      <c r="C70" s="97"/>
      <c r="D70" s="97"/>
      <c r="E70" s="97"/>
      <c r="F70" s="97"/>
      <c r="G70" s="97"/>
      <c r="H70" s="97"/>
      <c r="I70" s="82"/>
      <c r="J70" s="35"/>
      <c r="K70" s="35"/>
      <c r="L70" s="35"/>
      <c r="M70" s="96"/>
      <c r="N70" s="97"/>
      <c r="O70" s="97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s="36" customFormat="1" ht="23" x14ac:dyDescent="0.25">
      <c r="A71" s="35"/>
      <c r="B71" s="42"/>
      <c r="C71" s="35"/>
      <c r="D71" s="35"/>
      <c r="E71" s="37"/>
      <c r="F71" s="35"/>
      <c r="G71" s="35"/>
      <c r="H71" s="35"/>
      <c r="I71" s="82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s="36" customFormat="1" ht="23" x14ac:dyDescent="0.25">
      <c r="A72" s="35"/>
      <c r="B72" s="42" t="s">
        <v>206</v>
      </c>
      <c r="C72" s="35" t="s">
        <v>210</v>
      </c>
      <c r="D72" s="35"/>
      <c r="E72" s="37"/>
      <c r="F72" s="35"/>
      <c r="G72" s="35"/>
      <c r="H72" s="35"/>
      <c r="I72" s="82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s="36" customFormat="1" ht="23" x14ac:dyDescent="0.25">
      <c r="A73" s="35"/>
      <c r="B73" s="82"/>
      <c r="C73" s="96" t="s">
        <v>226</v>
      </c>
      <c r="D73" s="97"/>
      <c r="E73" s="35"/>
      <c r="F73" s="37"/>
      <c r="G73" s="35" t="s">
        <v>225</v>
      </c>
      <c r="H73" s="35"/>
      <c r="I73" s="82"/>
      <c r="J73" s="35"/>
      <c r="K73" s="35"/>
      <c r="L73" s="35"/>
      <c r="M73" s="37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s="36" customFormat="1" ht="23" x14ac:dyDescent="0.25">
      <c r="A74" s="35"/>
      <c r="B74" s="35"/>
      <c r="C74" s="82" t="s">
        <v>202</v>
      </c>
      <c r="D74" s="82" t="s">
        <v>227</v>
      </c>
      <c r="E74" s="35"/>
      <c r="F74" s="37"/>
      <c r="G74" s="35"/>
      <c r="H74" s="35"/>
      <c r="I74" s="82"/>
      <c r="J74" s="35"/>
      <c r="K74" s="35"/>
      <c r="L74" s="35"/>
      <c r="M74" s="37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s="36" customFormat="1" ht="23" x14ac:dyDescent="0.25">
      <c r="A75" s="35"/>
      <c r="B75" s="37" t="s">
        <v>53</v>
      </c>
      <c r="C75" s="38">
        <f>0.88*C29^1.0175</f>
        <v>341.24940850433421</v>
      </c>
      <c r="D75" s="38">
        <f>0.9664*C29^1.0017</f>
        <v>341.62518611607391</v>
      </c>
      <c r="E75" s="35"/>
      <c r="F75" s="37" t="s">
        <v>53</v>
      </c>
      <c r="G75" s="35">
        <f>0.88*C29^1.0175</f>
        <v>341.24940850433421</v>
      </c>
      <c r="H75" s="35"/>
      <c r="I75" s="82"/>
      <c r="J75" s="35"/>
      <c r="K75" s="35"/>
      <c r="L75" s="35"/>
      <c r="M75" s="37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s="36" customFormat="1" ht="23" x14ac:dyDescent="0.25">
      <c r="A76" s="35"/>
      <c r="B76" s="44" t="s">
        <v>57</v>
      </c>
      <c r="C76" s="38">
        <f>0.8126*C75^1.0134</f>
        <v>299.84160148421023</v>
      </c>
      <c r="D76" s="38">
        <f>0.7248*D75^1.0314</f>
        <v>297.386693521631</v>
      </c>
      <c r="E76" s="35"/>
      <c r="F76" s="37" t="s">
        <v>54</v>
      </c>
      <c r="G76" s="35">
        <f>0.8507*G75^1.0002</f>
        <v>290.63971197195735</v>
      </c>
      <c r="H76" s="35"/>
      <c r="I76" s="82"/>
      <c r="J76" s="35"/>
      <c r="K76" s="35"/>
      <c r="L76" s="35"/>
      <c r="M76" s="37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s="36" customFormat="1" ht="23" x14ac:dyDescent="0.25">
      <c r="A77" s="35"/>
      <c r="B77" s="44" t="s">
        <v>58</v>
      </c>
      <c r="C77" s="38">
        <f>0.6241*C75^1.0608</f>
        <v>303.6245343895132</v>
      </c>
      <c r="D77" s="38">
        <f>0.6586*D75^1.0499</f>
        <v>301.02027402276235</v>
      </c>
      <c r="E77" s="37"/>
      <c r="F77" s="39"/>
      <c r="G77" s="35"/>
      <c r="H77" s="35"/>
      <c r="I77" s="82"/>
      <c r="J77" s="35"/>
      <c r="K77" s="35"/>
      <c r="L77" s="35"/>
      <c r="M77" s="39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s="36" customFormat="1" ht="23" x14ac:dyDescent="0.25">
      <c r="A78" s="35"/>
      <c r="B78" s="44" t="s">
        <v>59</v>
      </c>
      <c r="C78" s="38">
        <f>0.611*C75^1.0667</f>
        <v>307.65856761153469</v>
      </c>
      <c r="D78" s="38">
        <f>0.6314*D75^1.0602</f>
        <v>306.46025718645689</v>
      </c>
      <c r="E78" s="37"/>
      <c r="F78" s="35"/>
      <c r="G78" s="35"/>
      <c r="H78" s="35"/>
      <c r="I78" s="82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s="36" customFormat="1" ht="23" x14ac:dyDescent="0.25">
      <c r="A79" s="35"/>
      <c r="B79" s="44" t="s">
        <v>60</v>
      </c>
      <c r="C79" s="38">
        <f>IF(C25="Bull",C76,IF(C25="Steer",C77,C78))</f>
        <v>299.84160148421023</v>
      </c>
      <c r="D79" s="38">
        <f>IF(C25="Bull",D76,IF(C25="Steer",D77,D78))</f>
        <v>297.386693521631</v>
      </c>
      <c r="E79" s="37"/>
      <c r="F79" s="35"/>
      <c r="G79" s="35"/>
      <c r="H79" s="35"/>
      <c r="I79" s="82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s="36" customFormat="1" ht="23" x14ac:dyDescent="0.25">
      <c r="A80" s="35"/>
      <c r="B80" s="44" t="s">
        <v>0</v>
      </c>
      <c r="C80" s="40">
        <f>-1.7824+0.07765*C29^0.75+4.0415*C30-0.8973*C30^2</f>
        <v>7.6451679624448374</v>
      </c>
      <c r="D80" s="82" t="s">
        <v>208</v>
      </c>
      <c r="E80" s="45" t="s">
        <v>210</v>
      </c>
      <c r="F80" s="35"/>
      <c r="G80" s="35"/>
      <c r="H80" s="35"/>
      <c r="I80" s="82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s="36" customFormat="1" ht="23" x14ac:dyDescent="0.25">
      <c r="A81" s="35"/>
      <c r="B81" s="44" t="s">
        <v>0</v>
      </c>
      <c r="C81" s="82"/>
      <c r="D81" s="40">
        <f>-0.6273+0.06453*C29^0.75+3.871*C30-0.614*C30^2</f>
        <v>7.8514093962210607</v>
      </c>
      <c r="E81" s="46">
        <f>-2.8836+0.08435*C29^0.75+4.5145*C30-0.9631*C30^2</f>
        <v>7.4933259192816744</v>
      </c>
      <c r="F81" s="35"/>
      <c r="G81" s="35"/>
      <c r="H81" s="35"/>
      <c r="I81" s="82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s="36" customFormat="1" ht="23" x14ac:dyDescent="0.25">
      <c r="A82" s="35"/>
      <c r="B82" s="44"/>
      <c r="C82" s="35"/>
      <c r="D82" s="35"/>
      <c r="E82" s="37"/>
      <c r="F82" s="35"/>
      <c r="G82" s="35"/>
      <c r="H82" s="35"/>
      <c r="I82" s="82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s="36" customFormat="1" ht="23" x14ac:dyDescent="0.25">
      <c r="A83" s="35"/>
      <c r="B83" s="44"/>
      <c r="C83" s="35"/>
      <c r="D83" s="35"/>
      <c r="E83" s="37"/>
      <c r="F83" s="35"/>
      <c r="G83" s="35"/>
      <c r="H83" s="35"/>
      <c r="I83" s="82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s="36" customFormat="1" ht="23" x14ac:dyDescent="0.25">
      <c r="A84" s="35"/>
      <c r="B84" s="96" t="s">
        <v>61</v>
      </c>
      <c r="C84" s="97"/>
      <c r="D84" s="97"/>
      <c r="E84" s="97"/>
      <c r="F84" s="97"/>
      <c r="G84" s="97"/>
      <c r="H84" s="97"/>
      <c r="I84" s="82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s="36" customFormat="1" ht="23" x14ac:dyDescent="0.25">
      <c r="A85" s="35"/>
      <c r="B85" s="82"/>
      <c r="C85" s="96" t="s">
        <v>226</v>
      </c>
      <c r="D85" s="97"/>
      <c r="E85" s="35"/>
      <c r="F85" s="35"/>
      <c r="G85" s="35" t="s">
        <v>225</v>
      </c>
      <c r="H85" s="35"/>
      <c r="I85" s="82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s="36" customFormat="1" ht="23" x14ac:dyDescent="0.25">
      <c r="A86" s="35"/>
      <c r="B86" s="35"/>
      <c r="C86" s="82" t="s">
        <v>202</v>
      </c>
      <c r="D86" s="82" t="s">
        <v>227</v>
      </c>
      <c r="E86" s="35"/>
      <c r="F86" s="35"/>
      <c r="G86" s="82" t="s">
        <v>202</v>
      </c>
      <c r="H86" s="82" t="s">
        <v>227</v>
      </c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s="36" customFormat="1" ht="23" x14ac:dyDescent="0.25">
      <c r="A87" s="35"/>
      <c r="B87" s="37" t="s">
        <v>56</v>
      </c>
      <c r="C87" s="82"/>
      <c r="D87" s="82" t="s">
        <v>208</v>
      </c>
      <c r="E87" s="45" t="s">
        <v>210</v>
      </c>
      <c r="F87" s="35"/>
      <c r="G87" s="82"/>
      <c r="H87" s="82" t="s">
        <v>208</v>
      </c>
      <c r="I87" s="45" t="s">
        <v>210</v>
      </c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s="36" customFormat="1" ht="23" x14ac:dyDescent="0.25">
      <c r="A88" s="35"/>
      <c r="B88" s="44" t="s">
        <v>62</v>
      </c>
      <c r="C88" s="38">
        <f>(C76/517)*517</f>
        <v>299.84160148421023</v>
      </c>
      <c r="D88" s="38">
        <f>(D76/560)*517</f>
        <v>274.55164384050579</v>
      </c>
      <c r="E88" s="47">
        <f>(D76/616)*517</f>
        <v>249.59240349136888</v>
      </c>
      <c r="F88" s="37" t="s">
        <v>63</v>
      </c>
      <c r="G88" s="40">
        <f>0.052*C91^0.75*$I$11^1.062</f>
        <v>3.5998414822119487</v>
      </c>
      <c r="H88" s="40">
        <f>0.052*D91^0.75*$I$11^1.062</f>
        <v>3.369632178223378</v>
      </c>
      <c r="I88" s="46">
        <f>0.052*E91^0.75*$I$11^1.062</f>
        <v>3.1371694917254538</v>
      </c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s="36" customFormat="1" ht="23" x14ac:dyDescent="0.25">
      <c r="A89" s="35"/>
      <c r="B89" s="44" t="s">
        <v>64</v>
      </c>
      <c r="C89" s="38">
        <f>(C77/433)*517</f>
        <v>362.52629163828709</v>
      </c>
      <c r="D89" s="38">
        <f>(D77/482)*517</f>
        <v>322.87859267586754</v>
      </c>
      <c r="E89" s="47">
        <f>(D77/532)*517</f>
        <v>292.53286028151905</v>
      </c>
      <c r="F89" s="37" t="s">
        <v>65</v>
      </c>
      <c r="G89" s="40">
        <f>IF(C23="Zebu",G88,IF(C24="Beef",H88,I88))</f>
        <v>3.369632178223378</v>
      </c>
      <c r="H89" s="35"/>
      <c r="I89" s="82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s="36" customFormat="1" ht="23" x14ac:dyDescent="0.25">
      <c r="A90" s="35"/>
      <c r="B90" s="44" t="s">
        <v>66</v>
      </c>
      <c r="C90" s="38">
        <f>(C78/402)*517</f>
        <v>395.67034690339159</v>
      </c>
      <c r="D90" s="38">
        <f>(D78/417)*517</f>
        <v>379.95192557649449</v>
      </c>
      <c r="E90" s="47">
        <f>(D78/493)*517</f>
        <v>321.37921493995583</v>
      </c>
      <c r="F90" s="37" t="s">
        <v>67</v>
      </c>
      <c r="G90" s="40">
        <f>1.14*(G89/I11)^-1.137</f>
        <v>0.27442687547559375</v>
      </c>
      <c r="H90" s="35"/>
      <c r="I90" s="82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s="36" customFormat="1" ht="23" x14ac:dyDescent="0.25">
      <c r="A91" s="35"/>
      <c r="B91" s="44" t="s">
        <v>68</v>
      </c>
      <c r="C91" s="38">
        <f>IF(C25="Bull",C88,IF(C25="Steer",C89,C90))</f>
        <v>299.84160148421023</v>
      </c>
      <c r="D91" s="38">
        <f>IF(C25="Bull",D88,IF(C25="Steer",D89,D90))</f>
        <v>274.55164384050579</v>
      </c>
      <c r="E91" s="47">
        <f>IF(C25="Bull",E88,IF(C25="Steer",E89,E90))</f>
        <v>249.59240349136888</v>
      </c>
      <c r="F91" s="37" t="s">
        <v>1</v>
      </c>
      <c r="G91" s="40">
        <f>0.327/(0.539+(1.14*(G89/I11)^-1.137))</f>
        <v>0.40200294563516836</v>
      </c>
      <c r="H91" s="35"/>
      <c r="I91" s="82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s="36" customFormat="1" ht="23" x14ac:dyDescent="0.25">
      <c r="A92" s="35"/>
      <c r="B92" s="37" t="s">
        <v>7</v>
      </c>
      <c r="C92" s="40">
        <f t="shared" ref="C92:D92" si="9">0.075*C79^0.75</f>
        <v>5.4041846555653379</v>
      </c>
      <c r="D92" s="40">
        <f t="shared" si="9"/>
        <v>5.3709661164884199</v>
      </c>
      <c r="E92" s="46"/>
      <c r="F92" s="37" t="s">
        <v>8</v>
      </c>
      <c r="G92" s="40">
        <f>(0.513+0.173*G91+0.1*I11)*0.92</f>
        <v>0.62453878882729341</v>
      </c>
      <c r="H92" s="35"/>
      <c r="I92" s="82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s="36" customFormat="1" ht="23" x14ac:dyDescent="0.25">
      <c r="A93" s="35"/>
      <c r="B93" s="37" t="s">
        <v>63</v>
      </c>
      <c r="C93" s="40">
        <f>0.061*C91^0.75*$I$11^1.035</f>
        <v>4.2271918517994864</v>
      </c>
      <c r="D93" s="40">
        <f>0.061*D91^0.75*$I$11^1.035</f>
        <v>3.9568635890586044</v>
      </c>
      <c r="E93" s="46">
        <f>0.061*E91^0.75*$I$11^1.035</f>
        <v>3.6838892430861154</v>
      </c>
      <c r="F93" s="37" t="s">
        <v>5</v>
      </c>
      <c r="G93" s="40">
        <f t="shared" ref="G93:H93" si="10">C92/$G$92</f>
        <v>8.6530808850365606</v>
      </c>
      <c r="H93" s="40">
        <f t="shared" si="10"/>
        <v>8.5998919724002576</v>
      </c>
      <c r="I93" s="82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s="36" customFormat="1" ht="23" x14ac:dyDescent="0.25">
      <c r="A94" s="35"/>
      <c r="B94" s="37" t="s">
        <v>69</v>
      </c>
      <c r="C94" s="40">
        <f>IF(C23="Zebu",C93,IF(C24="Beef",D93,E93))</f>
        <v>3.9568635890586044</v>
      </c>
      <c r="D94" s="40"/>
      <c r="E94" s="37"/>
      <c r="F94" s="37" t="s">
        <v>70</v>
      </c>
      <c r="G94" s="40">
        <f>IF(C23="Crossbreed",H93,G93)</f>
        <v>8.5998919724002576</v>
      </c>
      <c r="H94" s="35"/>
      <c r="I94" s="82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s="36" customFormat="1" ht="23" x14ac:dyDescent="0.25">
      <c r="A95" s="35"/>
      <c r="B95" s="37" t="s">
        <v>67</v>
      </c>
      <c r="C95" s="40">
        <f>1.14*(C94/I11)^-1.137</f>
        <v>0.22861238982288914</v>
      </c>
      <c r="D95" s="40"/>
      <c r="E95" s="37"/>
      <c r="F95" s="37" t="s">
        <v>6</v>
      </c>
      <c r="G95" s="40">
        <f>G89/$G$91</f>
        <v>8.3821081780864262</v>
      </c>
      <c r="H95" s="35"/>
      <c r="I95" s="82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s="36" customFormat="1" ht="23" x14ac:dyDescent="0.25">
      <c r="A96" s="35"/>
      <c r="B96" s="37" t="s">
        <v>1</v>
      </c>
      <c r="C96" s="40">
        <f>0.327/(0.539+(1.14*(C94/I11)^-1.137))</f>
        <v>0.42599625062780522</v>
      </c>
      <c r="D96" s="82"/>
      <c r="E96" s="37"/>
      <c r="F96" s="35"/>
      <c r="G96" s="35"/>
      <c r="H96" s="35"/>
      <c r="I96" s="82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s="36" customFormat="1" ht="23" x14ac:dyDescent="0.25">
      <c r="A97" s="35"/>
      <c r="B97" s="37" t="s">
        <v>8</v>
      </c>
      <c r="C97" s="40">
        <f>0.513+0.173*C96+0.1*I11</f>
        <v>0.68299735135861028</v>
      </c>
      <c r="D97" s="40">
        <f>0.513+0.173*C96+0.073*I11</f>
        <v>0.65699635135861034</v>
      </c>
      <c r="E97" s="46">
        <f>0.513+0.173*C96+0.01*I11</f>
        <v>0.59632735135861037</v>
      </c>
      <c r="F97" s="35"/>
      <c r="G97" s="35"/>
      <c r="H97" s="35"/>
      <c r="I97" s="82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s="36" customFormat="1" ht="23" x14ac:dyDescent="0.25">
      <c r="A98" s="35"/>
      <c r="B98" s="37" t="s">
        <v>71</v>
      </c>
      <c r="C98" s="40">
        <f>IF(C23="Crossbreed",IF(C24="Beef",D97,E97),C97)</f>
        <v>0.65699635135861034</v>
      </c>
      <c r="D98" s="82"/>
      <c r="E98" s="37"/>
      <c r="F98" s="35"/>
      <c r="G98" s="35"/>
      <c r="H98" s="35"/>
      <c r="I98" s="82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s="36" customFormat="1" ht="23" x14ac:dyDescent="0.25">
      <c r="A99" s="35"/>
      <c r="B99" s="37" t="s">
        <v>5</v>
      </c>
      <c r="C99" s="40">
        <f t="shared" ref="C99:D99" si="11">C92/$C$98</f>
        <v>8.2255931016815573</v>
      </c>
      <c r="D99" s="40">
        <f t="shared" si="11"/>
        <v>8.1750318786120157</v>
      </c>
      <c r="E99" s="37"/>
      <c r="F99" s="35"/>
      <c r="G99" s="35"/>
      <c r="H99" s="35"/>
      <c r="I99" s="82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s="36" customFormat="1" ht="23" x14ac:dyDescent="0.25">
      <c r="A100" s="35"/>
      <c r="B100" s="37" t="s">
        <v>70</v>
      </c>
      <c r="C100" s="40">
        <f>IF(C23="Crossbreed",D99,C99)</f>
        <v>8.1750318786120157</v>
      </c>
      <c r="D100" s="40"/>
      <c r="E100" s="37"/>
      <c r="F100" s="35"/>
      <c r="G100" s="35"/>
      <c r="H100" s="35"/>
      <c r="I100" s="82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s="36" customFormat="1" ht="23" x14ac:dyDescent="0.25">
      <c r="A101" s="35"/>
      <c r="B101" s="37" t="s">
        <v>6</v>
      </c>
      <c r="C101" s="40">
        <f>C94/$C$96</f>
        <v>9.2884939321114661</v>
      </c>
      <c r="D101" s="82"/>
      <c r="E101" s="37"/>
      <c r="F101" s="35"/>
      <c r="G101" s="35"/>
      <c r="H101" s="35"/>
      <c r="I101" s="82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s="36" customFormat="1" ht="23" x14ac:dyDescent="0.25">
      <c r="A102" s="35"/>
      <c r="B102" s="37"/>
      <c r="C102" s="82"/>
      <c r="D102" s="82"/>
      <c r="E102" s="37"/>
      <c r="F102" s="35"/>
      <c r="G102" s="35"/>
      <c r="H102" s="35"/>
      <c r="I102" s="82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s="36" customFormat="1" ht="23" x14ac:dyDescent="0.25">
      <c r="A103" s="35"/>
      <c r="B103" s="37"/>
      <c r="C103" s="82"/>
      <c r="D103" s="82"/>
      <c r="E103" s="82"/>
      <c r="F103" s="35"/>
      <c r="G103" s="35"/>
      <c r="H103" s="35"/>
      <c r="I103" s="82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s="36" customFormat="1" ht="23" x14ac:dyDescent="0.25">
      <c r="A104" s="35"/>
      <c r="B104" s="44"/>
      <c r="C104" s="82"/>
      <c r="D104" s="82"/>
      <c r="E104" s="35"/>
      <c r="F104" s="35"/>
      <c r="G104" s="35"/>
      <c r="H104" s="35"/>
      <c r="I104" s="82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s="36" customFormat="1" ht="23" x14ac:dyDescent="0.25">
      <c r="A105" s="35"/>
      <c r="B105" s="96" t="s">
        <v>72</v>
      </c>
      <c r="C105" s="97"/>
      <c r="D105" s="97"/>
      <c r="E105" s="97"/>
      <c r="F105" s="97"/>
      <c r="G105" s="97"/>
      <c r="H105" s="97"/>
      <c r="I105" s="82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s="36" customFormat="1" ht="23" x14ac:dyDescent="0.25">
      <c r="A106" s="35"/>
      <c r="B106" s="82"/>
      <c r="C106" s="96" t="s">
        <v>226</v>
      </c>
      <c r="D106" s="97"/>
      <c r="E106" s="35"/>
      <c r="F106" s="35"/>
      <c r="G106" s="35" t="s">
        <v>225</v>
      </c>
      <c r="H106" s="35"/>
      <c r="I106" s="82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s="36" customFormat="1" ht="23" x14ac:dyDescent="0.25">
      <c r="A107" s="35"/>
      <c r="B107" s="35"/>
      <c r="C107" s="82" t="s">
        <v>202</v>
      </c>
      <c r="D107" s="82" t="s">
        <v>227</v>
      </c>
      <c r="E107" s="35"/>
      <c r="F107" s="35"/>
      <c r="G107" s="82" t="s">
        <v>202</v>
      </c>
      <c r="H107" s="82" t="s">
        <v>227</v>
      </c>
      <c r="I107" s="82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s="36" customFormat="1" ht="23" x14ac:dyDescent="0.25">
      <c r="A108" s="35"/>
      <c r="B108" s="35"/>
      <c r="C108" s="35"/>
      <c r="D108" s="82" t="s">
        <v>208</v>
      </c>
      <c r="E108" s="45" t="s">
        <v>210</v>
      </c>
      <c r="F108" s="35"/>
      <c r="G108" s="82"/>
      <c r="H108" s="82" t="s">
        <v>208</v>
      </c>
      <c r="I108" s="45" t="s">
        <v>210</v>
      </c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s="36" customFormat="1" ht="23" x14ac:dyDescent="0.25">
      <c r="A109" s="35"/>
      <c r="B109" s="44" t="s">
        <v>17</v>
      </c>
      <c r="C109" s="38">
        <f>3.6*I9^0.75</f>
        <v>286.06512287090663</v>
      </c>
      <c r="D109" s="35"/>
      <c r="E109" s="35"/>
      <c r="F109" s="44" t="s">
        <v>17</v>
      </c>
      <c r="G109" s="38">
        <f>3.9*I9^0.75</f>
        <v>309.90388311014885</v>
      </c>
      <c r="H109" s="35"/>
      <c r="I109" s="82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s="36" customFormat="1" ht="23" x14ac:dyDescent="0.25">
      <c r="A110" s="35"/>
      <c r="B110" s="44" t="s">
        <v>73</v>
      </c>
      <c r="C110" s="38">
        <f>210.09*I11-10.01*I25</f>
        <v>162.70846547352335</v>
      </c>
      <c r="D110" s="38">
        <f>281.77*I11-27.66*I25</f>
        <v>161.89766312663897</v>
      </c>
      <c r="E110" s="47">
        <f>171.43*I11-3.08*I25</f>
        <v>152.89995014569948</v>
      </c>
      <c r="F110" s="44" t="s">
        <v>19</v>
      </c>
      <c r="G110" s="38">
        <f>181.43*I11-2.88*I25</f>
        <v>163.32132286351123</v>
      </c>
      <c r="H110" s="35"/>
      <c r="I110" s="82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s="36" customFormat="1" ht="23" x14ac:dyDescent="0.25">
      <c r="A111" s="35"/>
      <c r="B111" s="44" t="s">
        <v>74</v>
      </c>
      <c r="C111" s="38">
        <f>153.13*I11-2.53*I25</f>
        <v>137.45332511968172</v>
      </c>
      <c r="D111" s="38">
        <f>219.94*I11-12.04*I25</f>
        <v>164.16158238773437</v>
      </c>
      <c r="E111" s="47">
        <f>236.36*I11-19.84*I25</f>
        <v>149.11050639307729</v>
      </c>
      <c r="F111" s="35"/>
      <c r="G111" s="35"/>
      <c r="H111" s="35"/>
      <c r="I111" s="82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s="36" customFormat="1" ht="23" x14ac:dyDescent="0.25">
      <c r="A112" s="35"/>
      <c r="B112" s="44" t="s">
        <v>75</v>
      </c>
      <c r="C112" s="38">
        <f>193.9*I11-12.16*I25</f>
        <v>138.61023875704737</v>
      </c>
      <c r="D112" s="38">
        <f>174.65*I11-3.14*I25</f>
        <v>155.76339833035598</v>
      </c>
      <c r="E112" s="47">
        <f>206.58*I11-15.39*I25</f>
        <v>138.0404093643881</v>
      </c>
      <c r="F112" s="35"/>
      <c r="G112" s="35"/>
      <c r="H112" s="35"/>
      <c r="I112" s="82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s="36" customFormat="1" ht="23" x14ac:dyDescent="0.25">
      <c r="A113" s="35"/>
      <c r="B113" s="44" t="s">
        <v>76</v>
      </c>
      <c r="C113" s="38">
        <f>IF(C25="Bull",C110,IF(C25="Steer",C111,C112))</f>
        <v>162.70846547352335</v>
      </c>
      <c r="D113" s="38">
        <f>IF(C25="Bull",D110,IF(C25="Steer",D111,D112))</f>
        <v>161.89766312663897</v>
      </c>
      <c r="E113" s="47">
        <f>IF(C25="Bull",E110,IF(C25="Steer",E111,E112))</f>
        <v>152.89995014569948</v>
      </c>
      <c r="F113" s="35"/>
      <c r="G113" s="35"/>
      <c r="H113" s="35"/>
      <c r="I113" s="82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s="36" customFormat="1" ht="23" x14ac:dyDescent="0.25">
      <c r="A114" s="35"/>
      <c r="B114" s="37" t="s">
        <v>77</v>
      </c>
      <c r="C114" s="38">
        <f>IF(C23="Zebu",C113,IF(C24="Beef",D113,E113))</f>
        <v>161.89766312663897</v>
      </c>
      <c r="D114" s="82"/>
      <c r="E114" s="35"/>
      <c r="F114" s="35"/>
      <c r="G114" s="35"/>
      <c r="H114" s="35"/>
      <c r="I114" s="82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s="36" customFormat="1" ht="23" x14ac:dyDescent="0.25">
      <c r="A115" s="35"/>
      <c r="B115" s="35"/>
      <c r="C115" s="35"/>
      <c r="D115" s="82"/>
      <c r="E115" s="35"/>
      <c r="F115" s="35"/>
      <c r="G115" s="35"/>
      <c r="H115" s="35"/>
      <c r="I115" s="82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s="36" customFormat="1" ht="23" x14ac:dyDescent="0.25">
      <c r="A116" s="35"/>
      <c r="B116" s="35"/>
      <c r="C116" s="35"/>
      <c r="D116" s="82"/>
      <c r="E116" s="35"/>
      <c r="F116" s="35"/>
      <c r="G116" s="35"/>
      <c r="H116" s="35"/>
      <c r="I116" s="82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s="36" customFormat="1" ht="23" x14ac:dyDescent="0.25">
      <c r="A117" s="35"/>
      <c r="B117" s="96" t="s">
        <v>78</v>
      </c>
      <c r="C117" s="97"/>
      <c r="D117" s="97"/>
      <c r="E117" s="97"/>
      <c r="F117" s="97"/>
      <c r="G117" s="97"/>
      <c r="H117" s="97"/>
      <c r="I117" s="82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s="36" customFormat="1" ht="23" x14ac:dyDescent="0.25">
      <c r="A118" s="35"/>
      <c r="B118" s="82"/>
      <c r="C118" s="96"/>
      <c r="D118" s="97"/>
      <c r="E118" s="35"/>
      <c r="F118" s="35"/>
      <c r="G118" s="35"/>
      <c r="H118" s="35"/>
      <c r="I118" s="82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s="36" customFormat="1" ht="23" x14ac:dyDescent="0.25">
      <c r="A119" s="35"/>
      <c r="B119" s="35"/>
      <c r="C119" s="82" t="s">
        <v>202</v>
      </c>
      <c r="D119" s="82" t="s">
        <v>227</v>
      </c>
      <c r="E119" s="35"/>
      <c r="F119" s="35"/>
      <c r="G119" s="82"/>
      <c r="H119" s="82"/>
      <c r="I119" s="82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s="36" customFormat="1" ht="23" x14ac:dyDescent="0.25">
      <c r="A120" s="35"/>
      <c r="B120" s="44" t="s">
        <v>23</v>
      </c>
      <c r="C120" s="82">
        <f>($I$11*(147*$I$10^-0.5))/0.568</f>
        <v>14.452218536222697</v>
      </c>
      <c r="D120" s="82">
        <f>($I$11*(66*$I$10^-0.32))/0.568</f>
        <v>18.086685904307476</v>
      </c>
      <c r="E120" s="35"/>
      <c r="F120" s="35"/>
      <c r="G120" s="35"/>
      <c r="H120" s="35"/>
      <c r="I120" s="82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s="36" customFormat="1" ht="23" x14ac:dyDescent="0.25">
      <c r="A121" s="35"/>
      <c r="B121" s="44" t="s">
        <v>27</v>
      </c>
      <c r="C121" s="82">
        <f>($I$11*(38.6*$I$10^-0.36))/0.678</f>
        <v>7.0564805095422409</v>
      </c>
      <c r="D121" s="82">
        <f>($I$11*(25.4*$I$10^-0.25))/0.678</f>
        <v>8.6876022039089662</v>
      </c>
      <c r="E121" s="35"/>
      <c r="F121" s="35"/>
      <c r="G121" s="35"/>
      <c r="H121" s="35"/>
      <c r="I121" s="82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s="36" customFormat="1" ht="23" x14ac:dyDescent="0.25">
      <c r="A122" s="35"/>
      <c r="B122" s="44" t="s">
        <v>33</v>
      </c>
      <c r="C122" s="82">
        <f>($I$11*(0.3466*$I$10^0.0113))/0.355</f>
        <v>1.0027092602329812</v>
      </c>
      <c r="D122" s="82">
        <f>($I$11*(1.0597*$I$10^-0.2386))/0.355</f>
        <v>0.73866300897004333</v>
      </c>
      <c r="E122" s="35"/>
      <c r="F122" s="35"/>
      <c r="G122" s="35"/>
      <c r="H122" s="35"/>
      <c r="I122" s="24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s="36" customFormat="1" ht="23" x14ac:dyDescent="0.25">
      <c r="A123" s="35"/>
      <c r="B123" s="44" t="s">
        <v>39</v>
      </c>
      <c r="C123" s="82">
        <f>($I$11*(5.594*$I$10^-0.2998))/0.371</f>
        <v>2.6331345050171233</v>
      </c>
      <c r="D123" s="82">
        <f>($I$11*(1.977*$I$10^-0.058))/0.371</f>
        <v>3.6881315047920031</v>
      </c>
      <c r="E123" s="35"/>
      <c r="F123" s="35"/>
      <c r="G123" s="35"/>
      <c r="H123" s="35"/>
      <c r="I123" s="24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s="36" customFormat="1" ht="23" x14ac:dyDescent="0.25">
      <c r="A124" s="35"/>
      <c r="B124" s="44" t="s">
        <v>36</v>
      </c>
      <c r="C124" s="82">
        <f>($I$11*(0.9463*$I$10^0.1216))/0.484</f>
        <v>3.7632724740412331</v>
      </c>
      <c r="D124" s="82">
        <f>($I$11*(0.3418*$I$10^0.32))/0.484</f>
        <v>4.2074200692101158</v>
      </c>
      <c r="E124" s="35"/>
      <c r="F124" s="35"/>
      <c r="G124" s="35"/>
      <c r="H124" s="35"/>
      <c r="I124" s="24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s="36" customFormat="1" ht="23" x14ac:dyDescent="0.25">
      <c r="A125" s="35"/>
      <c r="B125" s="42"/>
      <c r="C125" s="35"/>
      <c r="D125" s="35"/>
      <c r="E125" s="35"/>
      <c r="F125" s="35"/>
      <c r="G125" s="35"/>
      <c r="H125" s="35"/>
      <c r="I125" s="24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s="36" customFormat="1" ht="23" x14ac:dyDescent="0.25">
      <c r="A126" s="35"/>
      <c r="B126" s="42"/>
      <c r="C126" s="35"/>
      <c r="D126" s="35"/>
      <c r="E126" s="35"/>
      <c r="F126" s="35"/>
      <c r="G126" s="35"/>
      <c r="H126" s="35"/>
      <c r="I126" s="24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s="36" customFormat="1" ht="23" x14ac:dyDescent="0.25">
      <c r="A127" s="35"/>
      <c r="B127" s="42"/>
      <c r="C127" s="35"/>
      <c r="D127" s="35"/>
      <c r="E127" s="35"/>
      <c r="F127" s="35"/>
      <c r="G127" s="35"/>
      <c r="H127" s="35"/>
      <c r="I127" s="24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s="36" customFormat="1" ht="23" x14ac:dyDescent="0.25">
      <c r="A128" s="35"/>
      <c r="B128" s="42"/>
      <c r="C128" s="35"/>
      <c r="D128" s="35"/>
      <c r="E128" s="35"/>
      <c r="F128" s="35"/>
      <c r="G128" s="35"/>
      <c r="H128" s="35"/>
      <c r="I128" s="24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s="36" customFormat="1" ht="23" x14ac:dyDescent="0.25">
      <c r="A129" s="35"/>
      <c r="B129" s="42"/>
      <c r="C129" s="35"/>
      <c r="D129" s="35"/>
      <c r="E129" s="35"/>
      <c r="F129" s="35"/>
      <c r="G129" s="35"/>
      <c r="H129" s="35"/>
      <c r="I129" s="24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s="36" customFormat="1" ht="23" x14ac:dyDescent="0.25">
      <c r="A130" s="35"/>
      <c r="B130" s="42"/>
      <c r="C130" s="35"/>
      <c r="D130" s="35"/>
      <c r="E130" s="35"/>
      <c r="F130" s="35"/>
      <c r="G130" s="35"/>
      <c r="H130" s="35"/>
      <c r="I130" s="24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s="36" customFormat="1" ht="23" x14ac:dyDescent="0.25">
      <c r="A131" s="35"/>
      <c r="B131" s="42"/>
      <c r="C131" s="35"/>
      <c r="D131" s="35"/>
      <c r="E131" s="35"/>
      <c r="F131" s="35"/>
      <c r="G131" s="35"/>
      <c r="H131" s="35"/>
      <c r="I131" s="24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s="36" customFormat="1" ht="23" x14ac:dyDescent="0.25">
      <c r="A132" s="35"/>
      <c r="B132" s="42"/>
      <c r="C132" s="35"/>
      <c r="D132" s="35"/>
      <c r="E132" s="35"/>
      <c r="F132" s="35"/>
      <c r="G132" s="82"/>
      <c r="H132" s="35"/>
      <c r="I132" s="82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s="36" customFormat="1" ht="23" x14ac:dyDescent="0.25">
      <c r="A133" s="35"/>
      <c r="B133" s="35"/>
      <c r="C133" s="35"/>
      <c r="D133" s="35"/>
      <c r="E133" s="42"/>
      <c r="F133" s="42"/>
      <c r="G133" s="82"/>
      <c r="H133" s="35"/>
      <c r="I133" s="82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s="36" customFormat="1" ht="23" x14ac:dyDescent="0.25">
      <c r="A134" s="35"/>
      <c r="B134" s="35"/>
      <c r="C134" s="35"/>
      <c r="D134" s="35"/>
      <c r="E134" s="35"/>
      <c r="F134" s="35"/>
      <c r="G134" s="82"/>
      <c r="H134" s="35"/>
      <c r="I134" s="82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s="36" customFormat="1" ht="23" x14ac:dyDescent="0.25">
      <c r="A135" s="35"/>
      <c r="B135" s="35"/>
      <c r="C135" s="35"/>
      <c r="D135" s="35"/>
      <c r="E135" s="35"/>
      <c r="F135" s="35"/>
      <c r="G135" s="82"/>
      <c r="H135" s="35"/>
      <c r="I135" s="82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s="36" customFormat="1" ht="23" x14ac:dyDescent="0.25">
      <c r="A136" s="35"/>
      <c r="B136" s="96" t="s">
        <v>209</v>
      </c>
      <c r="C136" s="97"/>
      <c r="D136" s="97"/>
      <c r="E136" s="97"/>
      <c r="F136" s="97"/>
      <c r="G136" s="97"/>
      <c r="H136" s="97"/>
      <c r="I136" s="82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s="36" customFormat="1" ht="23" x14ac:dyDescent="0.25">
      <c r="A137" s="35"/>
      <c r="B137" s="35"/>
      <c r="C137" s="35"/>
      <c r="D137" s="35"/>
      <c r="E137" s="35"/>
      <c r="F137" s="35"/>
      <c r="G137" s="82"/>
      <c r="H137" s="35"/>
      <c r="I137" s="82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s="36" customFormat="1" ht="23" x14ac:dyDescent="0.25">
      <c r="A138" s="35"/>
      <c r="B138" s="35" t="s">
        <v>202</v>
      </c>
      <c r="C138" s="35" t="s">
        <v>227</v>
      </c>
      <c r="D138" s="35"/>
      <c r="E138" s="35"/>
      <c r="F138" s="35"/>
      <c r="G138" s="82"/>
      <c r="H138" s="35"/>
      <c r="I138" s="82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s="36" customFormat="1" ht="23" x14ac:dyDescent="0.25">
      <c r="A139" s="35"/>
      <c r="B139" s="35" t="s">
        <v>211</v>
      </c>
      <c r="C139" s="35" t="s">
        <v>215</v>
      </c>
      <c r="D139" s="35" t="s">
        <v>219</v>
      </c>
      <c r="E139" s="35"/>
      <c r="F139" s="35"/>
      <c r="G139" s="82"/>
      <c r="H139" s="35"/>
      <c r="I139" s="82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s="36" customFormat="1" ht="23" x14ac:dyDescent="0.25">
      <c r="A140" s="35"/>
      <c r="B140" s="35" t="s">
        <v>225</v>
      </c>
      <c r="C140" s="35" t="s">
        <v>226</v>
      </c>
      <c r="D140" s="35"/>
      <c r="E140" s="35"/>
      <c r="F140" s="35"/>
      <c r="G140" s="82"/>
      <c r="H140" s="35"/>
      <c r="I140" s="82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s="36" customFormat="1" ht="23" x14ac:dyDescent="0.25">
      <c r="A141" s="35"/>
      <c r="B141" s="35"/>
      <c r="C141" s="35"/>
      <c r="D141" s="35"/>
      <c r="E141" s="35"/>
      <c r="F141" s="35"/>
      <c r="G141" s="82"/>
      <c r="H141" s="35"/>
      <c r="I141" s="82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s="36" customFormat="1" ht="23" x14ac:dyDescent="0.25">
      <c r="A142" s="35"/>
      <c r="B142" s="96" t="s">
        <v>61</v>
      </c>
      <c r="C142" s="97"/>
      <c r="D142" s="97"/>
      <c r="E142" s="97"/>
      <c r="F142" s="97"/>
      <c r="G142" s="82"/>
      <c r="H142" s="35"/>
      <c r="I142" s="82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s="36" customFormat="1" ht="23" x14ac:dyDescent="0.25">
      <c r="A143" s="35"/>
      <c r="B143" s="82"/>
      <c r="C143" s="96" t="s">
        <v>226</v>
      </c>
      <c r="D143" s="97"/>
      <c r="E143" s="35"/>
      <c r="F143" s="35" t="s">
        <v>225</v>
      </c>
      <c r="G143" s="82"/>
      <c r="H143" s="35"/>
      <c r="I143" s="82"/>
      <c r="J143" s="35"/>
      <c r="K143" s="35"/>
      <c r="L143" s="35"/>
      <c r="M143" s="41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s="36" customFormat="1" ht="23" x14ac:dyDescent="0.25">
      <c r="A144" s="35"/>
      <c r="B144" s="35"/>
      <c r="C144" s="82" t="s">
        <v>202</v>
      </c>
      <c r="D144" s="82" t="s">
        <v>227</v>
      </c>
      <c r="E144" s="35"/>
      <c r="F144" s="35" t="s">
        <v>203</v>
      </c>
      <c r="G144" s="82"/>
      <c r="H144" s="35"/>
      <c r="I144" s="82"/>
      <c r="J144" s="35"/>
      <c r="K144" s="35"/>
      <c r="L144" s="35"/>
      <c r="M144" s="41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s="36" customFormat="1" ht="23" x14ac:dyDescent="0.25">
      <c r="A145" s="35"/>
      <c r="B145" s="37" t="s">
        <v>54</v>
      </c>
      <c r="C145" s="82">
        <f>T59*0.895</f>
        <v>300.72000000000003</v>
      </c>
      <c r="D145" s="82">
        <f>T59*0.895</f>
        <v>300.72000000000003</v>
      </c>
      <c r="E145" s="37" t="s">
        <v>54</v>
      </c>
      <c r="F145" s="35">
        <f>0.863*T59</f>
        <v>289.96800000000002</v>
      </c>
      <c r="G145" s="82"/>
      <c r="H145" s="35"/>
      <c r="I145" s="82"/>
      <c r="J145" s="35"/>
      <c r="K145" s="35"/>
      <c r="L145" s="35"/>
      <c r="M145" s="41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s="36" customFormat="1" ht="23" x14ac:dyDescent="0.25">
      <c r="A146" s="35"/>
      <c r="B146" s="37" t="s">
        <v>55</v>
      </c>
      <c r="C146" s="82">
        <f>0.935*$C$30</f>
        <v>0.93500000000000005</v>
      </c>
      <c r="D146" s="82">
        <f>0.966*$C$30</f>
        <v>0.96599999999999997</v>
      </c>
      <c r="E146" s="37" t="s">
        <v>55</v>
      </c>
      <c r="F146" s="35">
        <f>0.955*$C$30</f>
        <v>0.95499999999999996</v>
      </c>
      <c r="G146" s="82"/>
      <c r="H146" s="35"/>
      <c r="I146" s="82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s="36" customFormat="1" ht="23" x14ac:dyDescent="0.25">
      <c r="A147" s="35"/>
      <c r="B147" s="37" t="s">
        <v>56</v>
      </c>
      <c r="C147" s="82">
        <f>($C$145/430)*440</f>
        <v>307.71348837209308</v>
      </c>
      <c r="D147" s="82">
        <f>($D$145/455)*440</f>
        <v>290.80615384615385</v>
      </c>
      <c r="E147" s="37" t="s">
        <v>56</v>
      </c>
      <c r="F147" s="35">
        <f>($F$145/430)*440</f>
        <v>296.71144186046513</v>
      </c>
      <c r="G147" s="82"/>
      <c r="H147" s="35"/>
      <c r="I147" s="82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s="36" customFormat="1" ht="23" x14ac:dyDescent="0.25">
      <c r="A148" s="35"/>
      <c r="B148" s="37" t="s">
        <v>7</v>
      </c>
      <c r="C148" s="82">
        <f t="shared" ref="C148:D148" si="12">0.0742*C145^0.75</f>
        <v>5.3582829072470703</v>
      </c>
      <c r="D148" s="82">
        <f t="shared" si="12"/>
        <v>5.3582829072470703</v>
      </c>
      <c r="E148" s="37" t="s">
        <v>7</v>
      </c>
      <c r="F148" s="35">
        <f>0.0717*(F145^0.75)</f>
        <v>5.0382731664625675</v>
      </c>
      <c r="G148" s="82"/>
      <c r="H148" s="35"/>
      <c r="I148" s="82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s="36" customFormat="1" ht="23" x14ac:dyDescent="0.25">
      <c r="A149" s="35"/>
      <c r="B149" s="37" t="s">
        <v>212</v>
      </c>
      <c r="C149" s="82">
        <f>0.053*($C$147^0.75)*($C$146^1.095)</f>
        <v>3.617632808975523</v>
      </c>
      <c r="D149" s="82">
        <f>0.053*($D$147^0.75)*($D$146^1.095)</f>
        <v>3.59358992858437</v>
      </c>
      <c r="E149" s="37" t="s">
        <v>79</v>
      </c>
      <c r="F149" s="35">
        <f>0.052*(F147^0.75)*(F146^1.062)</f>
        <v>3.5401172378276091</v>
      </c>
      <c r="G149" s="82"/>
      <c r="H149" s="35"/>
      <c r="I149" s="82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s="36" customFormat="1" ht="23" x14ac:dyDescent="0.25">
      <c r="A150" s="35"/>
      <c r="B150" s="37" t="s">
        <v>216</v>
      </c>
      <c r="C150" s="82">
        <f>0.064*($C$147^0.75)*($C$146^1.095)</f>
        <v>4.3684622598949714</v>
      </c>
      <c r="D150" s="82">
        <f>0.064*($D$147^0.75)*($D$146^1.095)</f>
        <v>4.339429347724522</v>
      </c>
      <c r="E150" s="37"/>
      <c r="F150" s="35"/>
      <c r="G150" s="82"/>
      <c r="H150" s="35"/>
      <c r="I150" s="82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s="36" customFormat="1" ht="23" x14ac:dyDescent="0.25">
      <c r="A151" s="35"/>
      <c r="B151" s="37" t="s">
        <v>220</v>
      </c>
      <c r="C151" s="82">
        <f>0.072*($C$147^0.75)*($C$146^1.095)</f>
        <v>4.9145200423818425</v>
      </c>
      <c r="D151" s="82">
        <f>0.072*($D$147^0.75)*($D$146^1.095)</f>
        <v>4.8818580161900869</v>
      </c>
      <c r="E151" s="37"/>
      <c r="F151" s="35"/>
      <c r="G151" s="82"/>
      <c r="H151" s="35"/>
      <c r="I151" s="82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s="36" customFormat="1" ht="23" x14ac:dyDescent="0.25">
      <c r="A152" s="35"/>
      <c r="B152" s="37" t="s">
        <v>67</v>
      </c>
      <c r="C152" s="82">
        <f>1.14*(((IF(C25="Bull",C149,IF(C25="Steer",C150,IF(C25="Heifer",C151))))/C146)^-1.137)</f>
        <v>0.24478737486614352</v>
      </c>
      <c r="D152" s="82">
        <f>1.14*(((IF(C25="Bull",D149,IF(C25="Steer",D150,IF(C25="Heifer",D151))))/D146)^-1.137)</f>
        <v>0.25596932297231534</v>
      </c>
      <c r="E152" s="37" t="s">
        <v>67</v>
      </c>
      <c r="F152" s="35">
        <f>1.14*((F149/F146)^-1.137)</f>
        <v>0.25700147905866894</v>
      </c>
      <c r="G152" s="82"/>
      <c r="H152" s="35"/>
      <c r="I152" s="82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s="36" customFormat="1" ht="23" x14ac:dyDescent="0.25">
      <c r="A153" s="35"/>
      <c r="B153" s="37" t="s">
        <v>36</v>
      </c>
      <c r="C153" s="82">
        <f t="shared" ref="C153:D153" si="13">0.327/(0.539+C152)</f>
        <v>0.41720498503289311</v>
      </c>
      <c r="D153" s="82">
        <f t="shared" si="13"/>
        <v>0.41133662715106772</v>
      </c>
      <c r="E153" s="37" t="s">
        <v>36</v>
      </c>
      <c r="F153" s="35">
        <f>0.327/(0.539+F152)</f>
        <v>0.41080325678125862</v>
      </c>
      <c r="G153" s="82"/>
      <c r="H153" s="35"/>
      <c r="I153" s="82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s="36" customFormat="1" ht="23" x14ac:dyDescent="0.25">
      <c r="A154" s="35"/>
      <c r="B154" s="37" t="s">
        <v>35</v>
      </c>
      <c r="C154" s="82">
        <f>0.513+0.173*C153+0.1*C146</f>
        <v>0.67867646241069057</v>
      </c>
      <c r="D154" s="82">
        <f>0.513+0.173*D153+0.073*D146</f>
        <v>0.65467923649713466</v>
      </c>
      <c r="E154" s="37" t="s">
        <v>35</v>
      </c>
      <c r="F154" s="35">
        <f>0.513+0.173*F153+0.1*F146</f>
        <v>0.67956896342315776</v>
      </c>
      <c r="G154" s="82" t="s">
        <v>204</v>
      </c>
      <c r="H154" s="35" t="s">
        <v>227</v>
      </c>
      <c r="I154" s="82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s="36" customFormat="1" ht="23" x14ac:dyDescent="0.25">
      <c r="A155" s="35"/>
      <c r="B155" s="37" t="s">
        <v>5</v>
      </c>
      <c r="C155" s="82">
        <f t="shared" ref="C155:D155" si="14">C148/C154</f>
        <v>7.895194844704351</v>
      </c>
      <c r="D155" s="82">
        <f t="shared" si="14"/>
        <v>8.1845927112590235</v>
      </c>
      <c r="E155" s="37" t="s">
        <v>5</v>
      </c>
      <c r="F155" s="35">
        <f>1.11*F148/F154</f>
        <v>8.2294564875398706</v>
      </c>
      <c r="G155" s="82">
        <f t="shared" ref="G155:H155" si="15">C155*1.11</f>
        <v>8.7636662776218301</v>
      </c>
      <c r="H155" s="35">
        <f t="shared" si="15"/>
        <v>9.0848979094975171</v>
      </c>
      <c r="I155" s="82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s="36" customFormat="1" ht="23" x14ac:dyDescent="0.25">
      <c r="A156" s="35"/>
      <c r="B156" s="37" t="s">
        <v>6</v>
      </c>
      <c r="C156" s="82">
        <f>(IF($C$25="Bull",$C$149,IF($C$25="Steer",$C$150,IF($C$25="Heifer",$C$151))))/$C$153</f>
        <v>8.6711159711821342</v>
      </c>
      <c r="D156" s="82">
        <f>(IF($C$25="Bull",$D$149,IF($C$25="Steer",$D$150,IF($C$25="Heifer",$D$151))))/$D$153</f>
        <v>8.7363723320087079</v>
      </c>
      <c r="E156" s="37" t="s">
        <v>6</v>
      </c>
      <c r="F156" s="35">
        <f>F149/F153</f>
        <v>8.6175491050515785</v>
      </c>
      <c r="G156" s="82">
        <f>(IF($C$25="Bull",$C$149,IF($C$25="Steer",$C$150,IF($C$25="Heifer",$C$151))))/$C$153</f>
        <v>8.6711159711821342</v>
      </c>
      <c r="H156" s="82">
        <f>(IF($C$25="Bull",$D$149,IF($C$25="Steer",$D$150,IF($C$25="Heifer",$D$151))))/$D$153</f>
        <v>8.7363723320087079</v>
      </c>
      <c r="I156" s="82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s="36" customFormat="1" ht="23" x14ac:dyDescent="0.25">
      <c r="A157" s="35"/>
      <c r="B157" s="37" t="s">
        <v>80</v>
      </c>
      <c r="C157" s="82">
        <f t="shared" ref="C157:D157" si="16">C155+C156</f>
        <v>16.566310815886485</v>
      </c>
      <c r="D157" s="82">
        <f t="shared" si="16"/>
        <v>16.920965043267731</v>
      </c>
      <c r="E157" s="37" t="s">
        <v>80</v>
      </c>
      <c r="F157" s="35">
        <f>F155+F156</f>
        <v>16.847005592591451</v>
      </c>
      <c r="G157" s="82"/>
      <c r="H157" s="35"/>
      <c r="I157" s="82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s="36" customFormat="1" ht="23" x14ac:dyDescent="0.25">
      <c r="A158" s="35"/>
      <c r="B158" s="37" t="s">
        <v>3</v>
      </c>
      <c r="C158" s="82">
        <f t="shared" ref="C158:D158" si="17">C157/0.82/4.409</f>
        <v>4.5821769263221253</v>
      </c>
      <c r="D158" s="82">
        <f t="shared" si="17"/>
        <v>4.6802729016777578</v>
      </c>
      <c r="E158" s="37" t="s">
        <v>3</v>
      </c>
      <c r="F158" s="35">
        <f>F157/0.82/4.409</f>
        <v>4.6598160062265803</v>
      </c>
      <c r="G158" s="82"/>
      <c r="H158" s="35"/>
      <c r="I158" s="82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s="36" customFormat="1" ht="23" x14ac:dyDescent="0.25">
      <c r="A159" s="35"/>
      <c r="B159" s="37" t="s">
        <v>81</v>
      </c>
      <c r="C159" s="82">
        <f>IF(C25="Bull",C149,IF(C25="Steer",C150,C151))</f>
        <v>3.617632808975523</v>
      </c>
      <c r="D159" s="82">
        <f>IF(C25="Bull",D149,IF(C25="Steer",D150,D151))</f>
        <v>3.59358992858437</v>
      </c>
      <c r="E159" s="82"/>
      <c r="F159" s="35"/>
      <c r="G159" s="82"/>
      <c r="H159" s="35"/>
      <c r="I159" s="82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s="36" customFormat="1" ht="23" x14ac:dyDescent="0.25">
      <c r="A160" s="35"/>
      <c r="B160" s="37"/>
      <c r="C160" s="82"/>
      <c r="D160" s="82"/>
      <c r="E160" s="82"/>
      <c r="F160" s="35"/>
      <c r="G160" s="82"/>
      <c r="H160" s="35"/>
      <c r="I160" s="82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s="36" customFormat="1" ht="23" x14ac:dyDescent="0.25">
      <c r="A161" s="35"/>
      <c r="B161" s="37"/>
      <c r="C161" s="35"/>
      <c r="D161" s="35"/>
      <c r="E161" s="35"/>
      <c r="F161" s="35"/>
      <c r="G161" s="82"/>
      <c r="H161" s="35"/>
      <c r="I161" s="82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s="36" customFormat="1" ht="23" x14ac:dyDescent="0.25">
      <c r="A162" s="35"/>
      <c r="B162" s="96" t="s">
        <v>82</v>
      </c>
      <c r="C162" s="97"/>
      <c r="D162" s="97"/>
      <c r="E162" s="97"/>
      <c r="F162" s="97"/>
      <c r="G162" s="82"/>
      <c r="H162" s="35"/>
      <c r="I162" s="82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s="36" customFormat="1" ht="23" x14ac:dyDescent="0.25">
      <c r="A163" s="35"/>
      <c r="B163" s="35"/>
      <c r="C163" s="96" t="s">
        <v>226</v>
      </c>
      <c r="D163" s="97"/>
      <c r="E163" s="35"/>
      <c r="F163" s="35" t="s">
        <v>225</v>
      </c>
      <c r="G163" s="82"/>
      <c r="H163" s="35"/>
      <c r="I163" s="82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s="36" customFormat="1" ht="23" x14ac:dyDescent="0.25">
      <c r="A164" s="35"/>
      <c r="B164" s="37"/>
      <c r="C164" s="35" t="s">
        <v>202</v>
      </c>
      <c r="D164" s="35" t="s">
        <v>227</v>
      </c>
      <c r="E164" s="35"/>
      <c r="F164" s="35" t="s">
        <v>203</v>
      </c>
      <c r="G164" s="82"/>
      <c r="H164" s="35"/>
      <c r="I164" s="82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s="36" customFormat="1" ht="23" x14ac:dyDescent="0.25">
      <c r="A165" s="35"/>
      <c r="B165" s="37" t="s">
        <v>54</v>
      </c>
      <c r="C165" s="82">
        <f t="shared" ref="C165:D165" si="18">$C$29*0.895</f>
        <v>313.25</v>
      </c>
      <c r="D165" s="82">
        <f t="shared" si="18"/>
        <v>313.25</v>
      </c>
      <c r="E165" s="37" t="s">
        <v>54</v>
      </c>
      <c r="F165" s="35">
        <f>0.863*$C$29</f>
        <v>302.05</v>
      </c>
      <c r="G165" s="82"/>
      <c r="H165" s="35"/>
      <c r="I165" s="82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s="36" customFormat="1" ht="23" x14ac:dyDescent="0.25">
      <c r="A166" s="35"/>
      <c r="B166" s="37" t="s">
        <v>55</v>
      </c>
      <c r="C166" s="82">
        <f>0.935*$C$30</f>
        <v>0.93500000000000005</v>
      </c>
      <c r="D166" s="82">
        <f>0.966*$C$30</f>
        <v>0.96599999999999997</v>
      </c>
      <c r="E166" s="37" t="s">
        <v>55</v>
      </c>
      <c r="F166" s="35">
        <f>0.955*$C$30</f>
        <v>0.95499999999999996</v>
      </c>
      <c r="G166" s="82"/>
      <c r="H166" s="35"/>
      <c r="I166" s="82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s="36" customFormat="1" ht="23" x14ac:dyDescent="0.25">
      <c r="A167" s="35"/>
      <c r="B167" s="37" t="s">
        <v>56</v>
      </c>
      <c r="C167" s="82">
        <f>($C$145/430)*440</f>
        <v>307.71348837209308</v>
      </c>
      <c r="D167" s="82">
        <f>($D$145/455)*440</f>
        <v>290.80615384615385</v>
      </c>
      <c r="E167" s="37" t="s">
        <v>56</v>
      </c>
      <c r="F167" s="35">
        <f>(F165/430)*440</f>
        <v>309.07441860465116</v>
      </c>
      <c r="G167" s="82"/>
      <c r="H167" s="35"/>
      <c r="I167" s="82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s="36" customFormat="1" ht="23" x14ac:dyDescent="0.25">
      <c r="A168" s="35"/>
      <c r="B168" s="37" t="s">
        <v>213</v>
      </c>
      <c r="C168" s="82">
        <f t="shared" ref="C168:D168" si="19">0.053*C167^0.75*C166^1.095</f>
        <v>3.617632808975523</v>
      </c>
      <c r="D168" s="82">
        <f t="shared" si="19"/>
        <v>3.59358992858437</v>
      </c>
      <c r="E168" s="37" t="s">
        <v>83</v>
      </c>
      <c r="F168" s="35">
        <f>0.052*(F167^0.75)*(F166^1.062)</f>
        <v>3.6501794855835934</v>
      </c>
      <c r="G168" s="82"/>
      <c r="H168" s="35"/>
      <c r="I168" s="82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s="36" customFormat="1" ht="23" x14ac:dyDescent="0.25">
      <c r="A169" s="35"/>
      <c r="B169" s="37" t="s">
        <v>217</v>
      </c>
      <c r="C169" s="82">
        <f t="shared" ref="C169:D169" si="20">0.064*C167^0.75*C166^1.095</f>
        <v>4.3684622598949714</v>
      </c>
      <c r="D169" s="82">
        <f t="shared" si="20"/>
        <v>4.339429347724522</v>
      </c>
      <c r="E169" s="37"/>
      <c r="F169" s="35"/>
      <c r="G169" s="82"/>
      <c r="H169" s="35"/>
      <c r="I169" s="82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s="36" customFormat="1" ht="23" x14ac:dyDescent="0.25">
      <c r="A170" s="35"/>
      <c r="B170" s="37" t="s">
        <v>221</v>
      </c>
      <c r="C170" s="82">
        <f t="shared" ref="C170:D170" si="21">0.072*C167^0.75*C166^1.095</f>
        <v>4.9145200423818425</v>
      </c>
      <c r="D170" s="82">
        <f t="shared" si="21"/>
        <v>4.8818580161900869</v>
      </c>
      <c r="E170" s="37"/>
      <c r="F170" s="35"/>
      <c r="G170" s="82"/>
      <c r="H170" s="35"/>
      <c r="I170" s="82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s="36" customFormat="1" ht="23" x14ac:dyDescent="0.25">
      <c r="A171" s="35"/>
      <c r="B171" s="37" t="s">
        <v>84</v>
      </c>
      <c r="C171" s="82">
        <f>IF(C23="Zebu",IF(C25="Bull",C168,IF(C25="Steer",C169,C170)),0)</f>
        <v>0</v>
      </c>
      <c r="D171" s="82">
        <f>IF(C23="Crossbreed",IF(C25="Bull",D168,IF(C25="Steer",D169,D170)),0)</f>
        <v>3.59358992858437</v>
      </c>
      <c r="E171" s="37"/>
      <c r="F171" s="35"/>
      <c r="G171" s="82"/>
      <c r="H171" s="35"/>
      <c r="I171" s="82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s="36" customFormat="1" ht="23" x14ac:dyDescent="0.25">
      <c r="A172" s="35"/>
      <c r="B172" s="37" t="s">
        <v>214</v>
      </c>
      <c r="C172" s="82">
        <f>238.79*C166-15.68*C168</f>
        <v>166.54416755526381</v>
      </c>
      <c r="D172" s="82">
        <f>219.43*D166-15.01*D168</f>
        <v>158.02959517194861</v>
      </c>
      <c r="E172" s="37" t="s">
        <v>19</v>
      </c>
      <c r="F172" s="35">
        <f>(221.39*F166)-(6.61*F168)</f>
        <v>187.29976360029241</v>
      </c>
      <c r="G172" s="82"/>
      <c r="H172" s="35"/>
      <c r="I172" s="82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s="36" customFormat="1" ht="23" x14ac:dyDescent="0.25">
      <c r="A173" s="35"/>
      <c r="B173" s="37" t="s">
        <v>218</v>
      </c>
      <c r="C173" s="82">
        <f>163.73*C166-4.65*C169</f>
        <v>132.77420049148839</v>
      </c>
      <c r="D173" s="82">
        <f>188.71*D166-7.67*D169</f>
        <v>149.0104369029529</v>
      </c>
      <c r="E173" s="37"/>
      <c r="F173" s="35"/>
      <c r="G173" s="82"/>
      <c r="H173" s="35"/>
      <c r="I173" s="82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s="36" customFormat="1" ht="23" x14ac:dyDescent="0.25">
      <c r="A174" s="35"/>
      <c r="B174" s="37" t="s">
        <v>222</v>
      </c>
      <c r="C174" s="82">
        <f>163.73*C166-4.65*C170</f>
        <v>130.23503180292442</v>
      </c>
      <c r="D174" s="82">
        <f>188.71*D166-7.67*D170</f>
        <v>144.85000901582202</v>
      </c>
      <c r="E174" s="37"/>
      <c r="F174" s="35"/>
      <c r="G174" s="82"/>
      <c r="H174" s="35"/>
      <c r="I174" s="82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s="36" customFormat="1" ht="23" x14ac:dyDescent="0.25">
      <c r="A175" s="35"/>
      <c r="B175" s="37" t="s">
        <v>76</v>
      </c>
      <c r="C175" s="82">
        <f>IF(C26="Feedlot",IF(C23="Zebu",IF(C25="Bull",C172,IF(C25="Steer",C173,C174)),0))</f>
        <v>0</v>
      </c>
      <c r="D175" s="82">
        <f>IF(C26="Feedlot",IF(C23="Crossbreed",IF(C25="Bull",D172,IF(C25="Steer",D173,D174)),0))</f>
        <v>158.02959517194861</v>
      </c>
      <c r="E175" s="37"/>
      <c r="F175" s="35"/>
      <c r="G175" s="82"/>
      <c r="H175" s="35"/>
      <c r="I175" s="82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s="36" customFormat="1" ht="23" x14ac:dyDescent="0.25">
      <c r="A176" s="35"/>
      <c r="B176" s="37" t="s">
        <v>85</v>
      </c>
      <c r="C176" s="82">
        <f t="shared" ref="C176:D176" si="22">(84.665-0.1179*C167)/100</f>
        <v>0.48385579720930233</v>
      </c>
      <c r="D176" s="82">
        <f t="shared" si="22"/>
        <v>0.50378954461538461</v>
      </c>
      <c r="E176" s="37" t="s">
        <v>85</v>
      </c>
      <c r="F176" s="35">
        <f>(84.665-(0.1179*F167))/100</f>
        <v>0.48225126046511635</v>
      </c>
      <c r="G176" s="82"/>
      <c r="H176" s="35"/>
      <c r="I176" s="82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s="36" customFormat="1" ht="23" x14ac:dyDescent="0.25">
      <c r="A177" s="35"/>
      <c r="B177" s="37" t="s">
        <v>86</v>
      </c>
      <c r="C177" s="82">
        <f t="shared" ref="C177:D177" si="23">46.9/100</f>
        <v>0.46899999999999997</v>
      </c>
      <c r="D177" s="82">
        <f t="shared" si="23"/>
        <v>0.46899999999999997</v>
      </c>
      <c r="E177" s="37" t="s">
        <v>86</v>
      </c>
      <c r="F177" s="35">
        <f>46.9/100</f>
        <v>0.46899999999999997</v>
      </c>
      <c r="G177" s="82"/>
      <c r="H177" s="35"/>
      <c r="I177" s="82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s="36" customFormat="1" ht="23" x14ac:dyDescent="0.25">
      <c r="A178" s="35"/>
      <c r="B178" s="37" t="s">
        <v>18</v>
      </c>
      <c r="C178" s="82">
        <f>(IF(C25="Bull",C172,IF(C25="Steer",C173,IF(C25="Heifer",C174))))/(IF(T59&lt;=350,C176,IF(T59&gt;350,C177)))</f>
        <v>344.20207118696879</v>
      </c>
      <c r="D178" s="82">
        <f>(IF(C25="Bull",D172,IF(C25="Steer",D173,IF(C25="Heifer",D174))))/(IF(T59&lt;=350,D176,IF(T59&gt;350,D177)))</f>
        <v>313.68176823239838</v>
      </c>
      <c r="E178" s="37" t="s">
        <v>18</v>
      </c>
      <c r="F178" s="35">
        <f>IF(T59&lt;=350,(F172/F176),IF(T59&gt;350,(F172/F177)))</f>
        <v>388.3862603482832</v>
      </c>
      <c r="G178" s="82"/>
      <c r="H178" s="35"/>
      <c r="I178" s="82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s="36" customFormat="1" ht="23" x14ac:dyDescent="0.25">
      <c r="A179" s="35"/>
      <c r="B179" s="37" t="s">
        <v>17</v>
      </c>
      <c r="C179" s="82">
        <f>4*C29^0.75</f>
        <v>323.67639214139535</v>
      </c>
      <c r="D179" s="82">
        <f>4*C29^0.75</f>
        <v>323.67639214139535</v>
      </c>
      <c r="E179" s="37" t="s">
        <v>17</v>
      </c>
      <c r="F179" s="35">
        <f>4.5*(C29^0.75)</f>
        <v>364.13594115906977</v>
      </c>
      <c r="G179" s="82">
        <f t="shared" ref="G179:H179" si="24">C179*1.11</f>
        <v>359.28079527694888</v>
      </c>
      <c r="H179" s="35">
        <f t="shared" si="24"/>
        <v>359.28079527694888</v>
      </c>
      <c r="I179" s="82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s="36" customFormat="1" ht="23" x14ac:dyDescent="0.25">
      <c r="A180" s="35"/>
      <c r="B180" s="37" t="s">
        <v>87</v>
      </c>
      <c r="C180" s="82">
        <f t="shared" ref="C180:D180" si="25">C178+C179</f>
        <v>667.87846332836421</v>
      </c>
      <c r="D180" s="82">
        <f t="shared" si="25"/>
        <v>637.35816037379368</v>
      </c>
      <c r="E180" s="37" t="s">
        <v>87</v>
      </c>
      <c r="F180" s="35">
        <f t="shared" ref="F180:H180" si="26">$F$178+F179</f>
        <v>752.52220150735297</v>
      </c>
      <c r="G180" s="82">
        <f t="shared" si="26"/>
        <v>747.66705562523202</v>
      </c>
      <c r="H180" s="35">
        <f t="shared" si="26"/>
        <v>747.66705562523202</v>
      </c>
      <c r="I180" s="82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s="36" customFormat="1" ht="23" x14ac:dyDescent="0.25">
      <c r="A181" s="35"/>
      <c r="B181" s="37" t="s">
        <v>15</v>
      </c>
      <c r="C181" s="82">
        <f t="shared" ref="C181:D181" si="27">120*C158</f>
        <v>549.86123115865507</v>
      </c>
      <c r="D181" s="82">
        <f t="shared" si="27"/>
        <v>561.63274820133097</v>
      </c>
      <c r="E181" s="37" t="s">
        <v>15</v>
      </c>
      <c r="F181" s="35">
        <f>120*F158</f>
        <v>559.17792074718966</v>
      </c>
      <c r="G181" s="82"/>
      <c r="H181" s="35"/>
      <c r="I181" s="82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s="36" customFormat="1" ht="23" x14ac:dyDescent="0.25">
      <c r="A182" s="35"/>
      <c r="B182" s="37" t="s">
        <v>14</v>
      </c>
      <c r="C182" s="82">
        <f t="shared" ref="C182:D182" si="28">1.11*C181</f>
        <v>610.34596658610724</v>
      </c>
      <c r="D182" s="82">
        <f t="shared" si="28"/>
        <v>623.41235050347746</v>
      </c>
      <c r="E182" s="37" t="s">
        <v>14</v>
      </c>
      <c r="F182" s="35">
        <f>1.11*F181</f>
        <v>620.68749202938056</v>
      </c>
      <c r="G182" s="82"/>
      <c r="H182" s="35"/>
      <c r="I182" s="82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s="36" customFormat="1" ht="23" x14ac:dyDescent="0.25">
      <c r="A183" s="35"/>
      <c r="B183" s="37" t="s">
        <v>16</v>
      </c>
      <c r="C183" s="82">
        <f t="shared" ref="C183:D183" si="29">((C180-(C181*0.64))/0.8)</f>
        <v>394.95909423353118</v>
      </c>
      <c r="D183" s="82">
        <f t="shared" si="29"/>
        <v>347.39150190617727</v>
      </c>
      <c r="E183" s="37" t="s">
        <v>16</v>
      </c>
      <c r="F183" s="35">
        <f t="shared" ref="F183:H183" si="30">((F180-($F$181*0.64))/0.8)</f>
        <v>493.31041528643948</v>
      </c>
      <c r="G183" s="82">
        <f t="shared" si="30"/>
        <v>487.24148293378829</v>
      </c>
      <c r="H183" s="35">
        <f t="shared" si="30"/>
        <v>487.24148293378829</v>
      </c>
      <c r="I183" s="82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s="36" customFormat="1" ht="23" x14ac:dyDescent="0.25">
      <c r="A184" s="35"/>
      <c r="B184" s="37" t="s">
        <v>11</v>
      </c>
      <c r="C184" s="82">
        <f t="shared" ref="C184:D184" si="31">C182+C183</f>
        <v>1005.3050608196384</v>
      </c>
      <c r="D184" s="82">
        <f t="shared" si="31"/>
        <v>970.80385240965472</v>
      </c>
      <c r="E184" s="37" t="s">
        <v>11</v>
      </c>
      <c r="F184" s="35">
        <f>$F$182+F183</f>
        <v>1113.9979073158202</v>
      </c>
      <c r="G184" s="82">
        <f>$C$182+G183</f>
        <v>1097.5874495198955</v>
      </c>
      <c r="H184" s="35">
        <f>$D$182+H183</f>
        <v>1110.6538334372658</v>
      </c>
      <c r="I184" s="82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s="36" customFormat="1" ht="23" x14ac:dyDescent="0.25">
      <c r="A185" s="35"/>
      <c r="B185" s="37"/>
      <c r="C185" s="82"/>
      <c r="D185" s="82"/>
      <c r="E185" s="35"/>
      <c r="F185" s="35"/>
      <c r="G185" s="82"/>
      <c r="H185" s="35"/>
      <c r="I185" s="82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s="36" customFormat="1" ht="23" x14ac:dyDescent="0.25">
      <c r="A186" s="35"/>
      <c r="B186" s="37"/>
      <c r="C186" s="82"/>
      <c r="D186" s="82"/>
      <c r="E186" s="35"/>
      <c r="F186" s="35"/>
      <c r="G186" s="82"/>
      <c r="H186" s="35"/>
      <c r="I186" s="82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s="36" customFormat="1" ht="23" x14ac:dyDescent="0.25">
      <c r="A187" s="35"/>
      <c r="B187" s="37"/>
      <c r="C187" s="82"/>
      <c r="D187" s="82"/>
      <c r="E187" s="35"/>
      <c r="F187" s="35"/>
      <c r="G187" s="82"/>
      <c r="H187" s="35"/>
      <c r="I187" s="82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s="36" customFormat="1" ht="23" x14ac:dyDescent="0.25">
      <c r="A188" s="35"/>
      <c r="B188" s="37"/>
      <c r="C188" s="96" t="s">
        <v>88</v>
      </c>
      <c r="D188" s="97"/>
      <c r="E188" s="97"/>
      <c r="F188" s="97"/>
      <c r="G188" s="82"/>
      <c r="H188" s="35"/>
      <c r="I188" s="82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s="36" customFormat="1" ht="23" x14ac:dyDescent="0.25">
      <c r="A189" s="35"/>
      <c r="B189" s="37"/>
      <c r="C189" s="96" t="s">
        <v>226</v>
      </c>
      <c r="D189" s="97"/>
      <c r="E189" s="35"/>
      <c r="F189" s="35" t="s">
        <v>225</v>
      </c>
      <c r="G189" s="82"/>
      <c r="H189" s="35"/>
      <c r="I189" s="82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s="36" customFormat="1" ht="23" x14ac:dyDescent="0.25">
      <c r="A190" s="35"/>
      <c r="B190" s="37"/>
      <c r="C190" s="82" t="s">
        <v>202</v>
      </c>
      <c r="D190" s="82" t="s">
        <v>227</v>
      </c>
      <c r="E190" s="35"/>
      <c r="F190" s="82" t="s">
        <v>203</v>
      </c>
      <c r="G190" s="82"/>
      <c r="H190" s="35"/>
      <c r="I190" s="82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s="36" customFormat="1" ht="23" x14ac:dyDescent="0.25">
      <c r="A191" s="35"/>
      <c r="B191" s="37" t="s">
        <v>53</v>
      </c>
      <c r="C191" s="82">
        <f t="shared" ref="C191:D191" si="32">0.96*$C$29</f>
        <v>336</v>
      </c>
      <c r="D191" s="82">
        <f t="shared" si="32"/>
        <v>336</v>
      </c>
      <c r="E191" s="37" t="s">
        <v>53</v>
      </c>
      <c r="F191" s="82">
        <f>0.96*$C$29</f>
        <v>336</v>
      </c>
      <c r="G191" s="82"/>
      <c r="H191" s="35"/>
      <c r="I191" s="82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s="36" customFormat="1" ht="23" x14ac:dyDescent="0.25">
      <c r="A192" s="35"/>
      <c r="B192" s="37" t="s">
        <v>54</v>
      </c>
      <c r="C192" s="82">
        <f t="shared" ref="C192:D192" si="33">0.895*C191</f>
        <v>300.72000000000003</v>
      </c>
      <c r="D192" s="82">
        <f t="shared" si="33"/>
        <v>300.72000000000003</v>
      </c>
      <c r="E192" s="37" t="s">
        <v>54</v>
      </c>
      <c r="F192" s="82">
        <f>0.863*F191</f>
        <v>289.96800000000002</v>
      </c>
      <c r="G192" s="82"/>
      <c r="H192" s="35"/>
      <c r="I192" s="82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s="36" customFormat="1" ht="23" x14ac:dyDescent="0.25">
      <c r="A193" s="35"/>
      <c r="B193" s="37" t="s">
        <v>56</v>
      </c>
      <c r="C193" s="82">
        <f>((C192/430)*440)</f>
        <v>307.71348837209308</v>
      </c>
      <c r="D193" s="82">
        <f>((D192/455)*440)</f>
        <v>290.80615384615385</v>
      </c>
      <c r="E193" s="37" t="s">
        <v>56</v>
      </c>
      <c r="F193" s="82">
        <f>((F192/430)*440)</f>
        <v>296.71144186046513</v>
      </c>
      <c r="G193" s="82"/>
      <c r="H193" s="35"/>
      <c r="I193" s="82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s="36" customFormat="1" ht="23" x14ac:dyDescent="0.25">
      <c r="A194" s="35"/>
      <c r="B194" s="37" t="s">
        <v>55</v>
      </c>
      <c r="C194" s="82">
        <f>0.936*C30</f>
        <v>0.93600000000000005</v>
      </c>
      <c r="D194" s="82">
        <f>0.966*C30</f>
        <v>0.96599999999999997</v>
      </c>
      <c r="E194" s="37" t="s">
        <v>55</v>
      </c>
      <c r="F194" s="82">
        <f>0.955*C30</f>
        <v>0.95499999999999996</v>
      </c>
      <c r="G194" s="82"/>
      <c r="H194" s="35"/>
      <c r="I194" s="82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s="36" customFormat="1" ht="23" x14ac:dyDescent="0.25">
      <c r="A195" s="35"/>
      <c r="B195" s="37" t="s">
        <v>89</v>
      </c>
      <c r="C195" s="82">
        <f t="shared" ref="C195:D195" si="34">C194*(102*C193^-0.4)/0.55</f>
        <v>17.549094700128276</v>
      </c>
      <c r="D195" s="82">
        <f t="shared" si="34"/>
        <v>18.52563792308586</v>
      </c>
      <c r="E195" s="37" t="s">
        <v>89</v>
      </c>
      <c r="F195" s="82">
        <f>F194*(102*F193^-0.4)/0.55</f>
        <v>18.168000628967992</v>
      </c>
      <c r="G195" s="82">
        <f t="shared" ref="G195:H195" si="35">C195</f>
        <v>17.549094700128276</v>
      </c>
      <c r="H195" s="35">
        <f t="shared" si="35"/>
        <v>18.52563792308586</v>
      </c>
      <c r="I195" s="82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s="36" customFormat="1" ht="23" x14ac:dyDescent="0.25">
      <c r="A196" s="35"/>
      <c r="B196" s="37" t="s">
        <v>90</v>
      </c>
      <c r="C196" s="82">
        <f>(15.4*C29)/1000/0.55</f>
        <v>9.7999999999999989</v>
      </c>
      <c r="D196" s="82">
        <f>(15.4*C29)/1000/0.55</f>
        <v>9.7999999999999989</v>
      </c>
      <c r="E196" s="37" t="s">
        <v>90</v>
      </c>
      <c r="F196" s="82">
        <f>(15.4*C29)/1000/0.55</f>
        <v>9.7999999999999989</v>
      </c>
      <c r="G196" s="82">
        <f t="shared" ref="G196:H196" si="36">C196</f>
        <v>9.7999999999999989</v>
      </c>
      <c r="H196" s="35">
        <f t="shared" si="36"/>
        <v>9.7999999999999989</v>
      </c>
      <c r="I196" s="82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s="36" customFormat="1" ht="23" x14ac:dyDescent="0.25">
      <c r="A197" s="35"/>
      <c r="B197" s="48" t="s">
        <v>91</v>
      </c>
      <c r="C197" s="82">
        <f t="shared" ref="C197:D197" si="37">(SUM(C195:C196))</f>
        <v>27.349094700128276</v>
      </c>
      <c r="D197" s="82">
        <f t="shared" si="37"/>
        <v>28.325637923085857</v>
      </c>
      <c r="E197" s="48" t="s">
        <v>91</v>
      </c>
      <c r="F197" s="82">
        <f t="shared" ref="F197:H197" si="38">(SUM(F195:F196))</f>
        <v>27.968000628967992</v>
      </c>
      <c r="G197" s="82">
        <f t="shared" si="38"/>
        <v>27.349094700128276</v>
      </c>
      <c r="H197" s="82">
        <f t="shared" si="38"/>
        <v>28.325637923085857</v>
      </c>
      <c r="I197" s="82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s="36" customFormat="1" ht="23" x14ac:dyDescent="0.25">
      <c r="A198" s="35"/>
      <c r="B198" s="37" t="s">
        <v>92</v>
      </c>
      <c r="C198" s="82">
        <f t="shared" ref="C198:D198" si="39">C194*(29.8*C193^-0.29)/0.68</f>
        <v>7.787906079151286</v>
      </c>
      <c r="D198" s="82">
        <f t="shared" si="39"/>
        <v>8.1703269502423481</v>
      </c>
      <c r="E198" s="37" t="s">
        <v>92</v>
      </c>
      <c r="F198" s="82">
        <f>F194*(29.8*F193^-0.29)/0.68</f>
        <v>8.0303371199619651</v>
      </c>
      <c r="G198" s="82">
        <f t="shared" ref="G198:H198" si="40">C198</f>
        <v>7.787906079151286</v>
      </c>
      <c r="H198" s="35">
        <f t="shared" si="40"/>
        <v>8.1703269502423481</v>
      </c>
      <c r="I198" s="82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s="36" customFormat="1" ht="23" x14ac:dyDescent="0.25">
      <c r="A199" s="35"/>
      <c r="B199" s="37" t="s">
        <v>93</v>
      </c>
      <c r="C199" s="82">
        <f t="shared" ref="C199:D199" si="41">(17.6*$C$29)/1000/0.68</f>
        <v>9.0588235294117663</v>
      </c>
      <c r="D199" s="82">
        <f t="shared" si="41"/>
        <v>9.0588235294117663</v>
      </c>
      <c r="E199" s="37" t="s">
        <v>93</v>
      </c>
      <c r="F199" s="82">
        <f>(17.6*$C$29)/1000/0.68</f>
        <v>9.0588235294117663</v>
      </c>
      <c r="G199" s="82">
        <f t="shared" ref="G199:H199" si="42">(17.6*$C$29)/1000</f>
        <v>6.160000000000001</v>
      </c>
      <c r="H199" s="82">
        <f t="shared" si="42"/>
        <v>6.160000000000001</v>
      </c>
      <c r="I199" s="82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s="36" customFormat="1" ht="23" x14ac:dyDescent="0.25">
      <c r="A200" s="35"/>
      <c r="B200" s="48" t="s">
        <v>94</v>
      </c>
      <c r="C200" s="82">
        <f t="shared" ref="C200:D200" si="43">(SUM(C198:C199))</f>
        <v>16.846729608563052</v>
      </c>
      <c r="D200" s="82">
        <f t="shared" si="43"/>
        <v>17.229150479654116</v>
      </c>
      <c r="E200" s="48" t="s">
        <v>94</v>
      </c>
      <c r="F200" s="82">
        <f t="shared" ref="F200:H200" si="44">(SUM(F198:F199))</f>
        <v>17.089160649373731</v>
      </c>
      <c r="G200" s="82">
        <f t="shared" si="44"/>
        <v>13.947906079151288</v>
      </c>
      <c r="H200" s="82">
        <f t="shared" si="44"/>
        <v>14.330326950242348</v>
      </c>
      <c r="I200" s="82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s="36" customFormat="1" ht="23" x14ac:dyDescent="0.25">
      <c r="A201" s="35"/>
      <c r="B201" s="37" t="s">
        <v>95</v>
      </c>
      <c r="C201" s="82">
        <f>(333.3*C194)/1000/0.16</f>
        <v>1.9498050000000002</v>
      </c>
      <c r="D201" s="82">
        <f>(339.6*D194)/1000/0.16</f>
        <v>2.050335</v>
      </c>
      <c r="E201" s="37" t="s">
        <v>95</v>
      </c>
      <c r="F201" s="82">
        <f>(333.3*F194)/1000/0.16</f>
        <v>1.9893843749999998</v>
      </c>
      <c r="G201" s="82">
        <f t="shared" ref="G201:H201" si="45">C201</f>
        <v>1.9498050000000002</v>
      </c>
      <c r="H201" s="35">
        <f t="shared" si="45"/>
        <v>2.050335</v>
      </c>
      <c r="I201" s="82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s="36" customFormat="1" ht="23" x14ac:dyDescent="0.25">
      <c r="A202" s="35"/>
      <c r="B202" s="37" t="s">
        <v>96</v>
      </c>
      <c r="C202" s="82">
        <f t="shared" ref="C202:D202" si="46">(3.3*C192)/1000/0.16</f>
        <v>6.20235</v>
      </c>
      <c r="D202" s="82">
        <f t="shared" si="46"/>
        <v>6.20235</v>
      </c>
      <c r="E202" s="37" t="s">
        <v>96</v>
      </c>
      <c r="F202" s="82">
        <f>(3.3*F192)/1000/0.16</f>
        <v>5.9805900000000003</v>
      </c>
      <c r="G202" s="82">
        <f t="shared" ref="G202:H202" si="47">C202</f>
        <v>6.20235</v>
      </c>
      <c r="H202" s="35">
        <f t="shared" si="47"/>
        <v>6.20235</v>
      </c>
      <c r="I202" s="82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s="36" customFormat="1" ht="23" x14ac:dyDescent="0.25">
      <c r="A203" s="35"/>
      <c r="B203" s="48" t="s">
        <v>97</v>
      </c>
      <c r="C203" s="82">
        <f t="shared" ref="C203:D203" si="48">(SUM(C201:C202))</f>
        <v>8.1521550000000005</v>
      </c>
      <c r="D203" s="82">
        <f t="shared" si="48"/>
        <v>8.2526849999999996</v>
      </c>
      <c r="E203" s="48" t="s">
        <v>97</v>
      </c>
      <c r="F203" s="82">
        <f t="shared" ref="F203:H203" si="49">(SUM(F201:F202))</f>
        <v>7.9699743749999996</v>
      </c>
      <c r="G203" s="82">
        <f t="shared" si="49"/>
        <v>8.1521550000000005</v>
      </c>
      <c r="H203" s="82">
        <f t="shared" si="49"/>
        <v>8.2526849999999996</v>
      </c>
      <c r="I203" s="82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s="36" customFormat="1" ht="23" x14ac:dyDescent="0.25">
      <c r="A204" s="35"/>
      <c r="B204" s="37" t="s">
        <v>98</v>
      </c>
      <c r="C204" s="82">
        <f>1.5243*C194/0.91</f>
        <v>1.5678514285714285</v>
      </c>
      <c r="D204" s="82">
        <f>1.4388*D194/0.91</f>
        <v>1.5273415384615385</v>
      </c>
      <c r="E204" s="37" t="s">
        <v>98</v>
      </c>
      <c r="F204" s="82">
        <f>1.5243*F194/0.91</f>
        <v>1.5996774725274725</v>
      </c>
      <c r="G204" s="82">
        <f t="shared" ref="G204:H204" si="50">C204</f>
        <v>1.5678514285714285</v>
      </c>
      <c r="H204" s="35">
        <f t="shared" si="50"/>
        <v>1.5273415384615385</v>
      </c>
      <c r="I204" s="82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s="36" customFormat="1" ht="23" x14ac:dyDescent="0.25">
      <c r="A205" s="35"/>
      <c r="B205" s="37" t="s">
        <v>223</v>
      </c>
      <c r="C205" s="82">
        <f>1.3503*C194/0.91</f>
        <v>1.3888800000000001</v>
      </c>
      <c r="D205" s="82">
        <f>1.2511*D194/0.91</f>
        <v>1.3280907692307693</v>
      </c>
      <c r="E205" s="37" t="s">
        <v>223</v>
      </c>
      <c r="F205" s="82">
        <f>1.3503*F194/0.91</f>
        <v>1.417073076923077</v>
      </c>
      <c r="G205" s="82">
        <f t="shared" ref="G205:H205" si="51">C205</f>
        <v>1.3888800000000001</v>
      </c>
      <c r="H205" s="35">
        <f t="shared" si="51"/>
        <v>1.3280907692307693</v>
      </c>
      <c r="I205" s="82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s="36" customFormat="1" ht="23" x14ac:dyDescent="0.25">
      <c r="A206" s="35"/>
      <c r="B206" s="37" t="s">
        <v>99</v>
      </c>
      <c r="C206" s="82">
        <f t="shared" ref="C206:D206" si="52">(7*C192)/1000/0.91</f>
        <v>2.3132307692307688</v>
      </c>
      <c r="D206" s="82">
        <f t="shared" si="52"/>
        <v>2.3132307692307688</v>
      </c>
      <c r="E206" s="37" t="s">
        <v>99</v>
      </c>
      <c r="F206" s="82">
        <f>(7*F192)/1000/0.91</f>
        <v>2.2305230769230771</v>
      </c>
      <c r="G206" s="82">
        <f>(7*F192)/1000</f>
        <v>2.029776</v>
      </c>
      <c r="H206" s="82">
        <f>(7*F192)/1000</f>
        <v>2.029776</v>
      </c>
      <c r="I206" s="82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s="36" customFormat="1" ht="23" x14ac:dyDescent="0.25">
      <c r="A207" s="35"/>
      <c r="B207" s="48" t="s">
        <v>100</v>
      </c>
      <c r="C207" s="82">
        <f>(IF(C25="Heifer",(C205+C206),(C204+C206)))</f>
        <v>3.881082197802197</v>
      </c>
      <c r="D207" s="82">
        <f>(IF(C25="Heifer",(D205+D206),(D204+D206)))</f>
        <v>3.8405723076923071</v>
      </c>
      <c r="E207" s="48" t="s">
        <v>100</v>
      </c>
      <c r="F207" s="82">
        <f>(IF($C$25="Heifer",(F205+F206),(F204+F206)))</f>
        <v>3.8302005494505496</v>
      </c>
      <c r="G207" s="82">
        <f>(IF($C$25="Heifer",(G205+G206),(G204+G206)))</f>
        <v>3.5976274285714283</v>
      </c>
      <c r="H207" s="82">
        <f>(IF($C$25="Heifer",(H205+H206),(H204+H206)))</f>
        <v>3.5571175384615383</v>
      </c>
      <c r="I207" s="82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s="36" customFormat="1" ht="23" x14ac:dyDescent="0.25">
      <c r="A208" s="35"/>
      <c r="B208" s="37" t="s">
        <v>101</v>
      </c>
      <c r="C208" s="82">
        <f t="shared" ref="C208:D208" si="53">C194*(0.29*C193^0.38)</f>
        <v>2.3942501836794015</v>
      </c>
      <c r="D208" s="82">
        <f t="shared" si="53"/>
        <v>2.4184910774212613</v>
      </c>
      <c r="E208" s="37" t="s">
        <v>101</v>
      </c>
      <c r="F208" s="82">
        <f>F194*(0.29*F193^0.38)</f>
        <v>2.409286245168432</v>
      </c>
      <c r="G208" s="82">
        <f t="shared" ref="G208:H208" si="54">C208</f>
        <v>2.3942501836794015</v>
      </c>
      <c r="H208" s="35">
        <f t="shared" si="54"/>
        <v>2.4184910774212613</v>
      </c>
      <c r="I208" s="82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s="36" customFormat="1" ht="23" x14ac:dyDescent="0.25">
      <c r="A209" s="35"/>
      <c r="B209" s="37" t="s">
        <v>102</v>
      </c>
      <c r="C209" s="82">
        <f>2.6*T9</f>
        <v>19.905561078640257</v>
      </c>
      <c r="D209" s="82">
        <f>2.6*T9</f>
        <v>19.905561078640257</v>
      </c>
      <c r="E209" s="37" t="s">
        <v>102</v>
      </c>
      <c r="F209" s="82">
        <f>2.6*T9</f>
        <v>19.905561078640257</v>
      </c>
      <c r="G209" s="82">
        <f t="shared" ref="G209:H209" si="55">C209</f>
        <v>19.905561078640257</v>
      </c>
      <c r="H209" s="35">
        <f t="shared" si="55"/>
        <v>19.905561078640257</v>
      </c>
      <c r="I209" s="82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s="36" customFormat="1" ht="23" x14ac:dyDescent="0.25">
      <c r="A210" s="35"/>
      <c r="B210" s="37" t="s">
        <v>103</v>
      </c>
      <c r="C210" s="82">
        <f t="shared" ref="C210:D210" si="56">(37.5*$C$29)/1000</f>
        <v>13.125</v>
      </c>
      <c r="D210" s="82">
        <f t="shared" si="56"/>
        <v>13.125</v>
      </c>
      <c r="E210" s="37" t="s">
        <v>103</v>
      </c>
      <c r="F210" s="82">
        <f>(37.5*$C$29)/1000</f>
        <v>13.125</v>
      </c>
      <c r="G210" s="82">
        <f t="shared" ref="G210:H210" si="57">C210</f>
        <v>13.125</v>
      </c>
      <c r="H210" s="35">
        <f t="shared" si="57"/>
        <v>13.125</v>
      </c>
      <c r="I210" s="82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s="36" customFormat="1" ht="23" x14ac:dyDescent="0.25">
      <c r="A211" s="35"/>
      <c r="B211" s="37" t="s">
        <v>104</v>
      </c>
      <c r="C211" s="82">
        <f>0.7*(C29/100)</f>
        <v>2.4499999999999997</v>
      </c>
      <c r="D211" s="82">
        <f>0.7*($C$29/100)</f>
        <v>2.4499999999999997</v>
      </c>
      <c r="E211" s="37" t="s">
        <v>104</v>
      </c>
      <c r="F211" s="82">
        <f>0.7*($C$29/100)</f>
        <v>2.4499999999999997</v>
      </c>
      <c r="G211" s="82">
        <f t="shared" ref="G211:H211" si="58">C211</f>
        <v>2.4499999999999997</v>
      </c>
      <c r="H211" s="35">
        <f t="shared" si="58"/>
        <v>2.4499999999999997</v>
      </c>
      <c r="I211" s="82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s="36" customFormat="1" ht="23" x14ac:dyDescent="0.25">
      <c r="A212" s="35"/>
      <c r="B212" s="37" t="s">
        <v>105</v>
      </c>
      <c r="C212" s="82">
        <f>0.7+(0.002*C29)</f>
        <v>1.4</v>
      </c>
      <c r="D212" s="82">
        <f>0.7+(0.002*$C$29)</f>
        <v>1.4</v>
      </c>
      <c r="E212" s="37" t="s">
        <v>105</v>
      </c>
      <c r="F212" s="82">
        <f>0.7+(0.002*$C$29)</f>
        <v>1.4</v>
      </c>
      <c r="G212" s="82">
        <f t="shared" ref="G212:H212" si="59">C212</f>
        <v>1.4</v>
      </c>
      <c r="H212" s="35">
        <f t="shared" si="59"/>
        <v>1.4</v>
      </c>
      <c r="I212" s="82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s="36" customFormat="1" ht="23" x14ac:dyDescent="0.25">
      <c r="A213" s="35"/>
      <c r="B213" s="48" t="s">
        <v>106</v>
      </c>
      <c r="C213" s="82">
        <f t="shared" ref="C213:D213" si="60">SUM(C208:C212)</f>
        <v>39.274811262319659</v>
      </c>
      <c r="D213" s="82">
        <f t="shared" si="60"/>
        <v>39.299052156061521</v>
      </c>
      <c r="E213" s="48" t="s">
        <v>106</v>
      </c>
      <c r="F213" s="82">
        <f t="shared" ref="F213:H213" si="61">SUM(F208:F212)</f>
        <v>39.289847323808694</v>
      </c>
      <c r="G213" s="82">
        <f t="shared" si="61"/>
        <v>39.274811262319659</v>
      </c>
      <c r="H213" s="82">
        <f t="shared" si="61"/>
        <v>39.299052156061521</v>
      </c>
      <c r="I213" s="82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s="36" customFormat="1" ht="23" x14ac:dyDescent="0.25">
      <c r="A214" s="35"/>
      <c r="B214" s="37" t="s">
        <v>35</v>
      </c>
      <c r="C214" s="82">
        <f t="shared" ref="C214:D214" si="62">SUM(C209:C212)</f>
        <v>36.880561078640262</v>
      </c>
      <c r="D214" s="82">
        <f t="shared" si="62"/>
        <v>36.880561078640262</v>
      </c>
      <c r="E214" s="37" t="s">
        <v>35</v>
      </c>
      <c r="F214" s="82">
        <f t="shared" ref="F214:H214" si="63">SUM(F209:F212)</f>
        <v>36.880561078640262</v>
      </c>
      <c r="G214" s="82">
        <f t="shared" si="63"/>
        <v>36.880561078640262</v>
      </c>
      <c r="H214" s="82">
        <f t="shared" si="63"/>
        <v>36.880561078640262</v>
      </c>
      <c r="I214" s="82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s="36" customFormat="1" ht="23" x14ac:dyDescent="0.25">
      <c r="A215" s="35"/>
      <c r="B215" s="35"/>
      <c r="C215" s="82"/>
      <c r="D215" s="82"/>
      <c r="E215" s="37"/>
      <c r="F215" s="82"/>
      <c r="G215" s="82"/>
      <c r="H215" s="35"/>
      <c r="I215" s="82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s="36" customFormat="1" ht="23" x14ac:dyDescent="0.25">
      <c r="A216" s="35"/>
      <c r="B216" s="37"/>
      <c r="C216" s="96"/>
      <c r="D216" s="97"/>
      <c r="E216" s="97"/>
      <c r="F216" s="97"/>
      <c r="G216" s="82"/>
      <c r="H216" s="35"/>
      <c r="I216" s="82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s="36" customFormat="1" ht="23" x14ac:dyDescent="0.25">
      <c r="A217" s="35"/>
      <c r="B217" s="37"/>
      <c r="C217" s="96"/>
      <c r="D217" s="97"/>
      <c r="E217" s="35"/>
      <c r="F217" s="35"/>
      <c r="G217" s="82"/>
      <c r="H217" s="35"/>
      <c r="I217" s="82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s="36" customFormat="1" ht="23" x14ac:dyDescent="0.25">
      <c r="A218" s="35"/>
      <c r="B218" s="35"/>
      <c r="C218" s="35"/>
      <c r="D218" s="35"/>
      <c r="E218" s="37"/>
      <c r="F218" s="35"/>
      <c r="G218" s="82"/>
      <c r="H218" s="35"/>
      <c r="I218" s="82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s="36" customFormat="1" ht="23" x14ac:dyDescent="0.25">
      <c r="A219" s="35"/>
      <c r="B219" s="35"/>
      <c r="C219" s="35"/>
      <c r="D219" s="35"/>
      <c r="E219" s="37"/>
      <c r="F219" s="35"/>
      <c r="G219" s="82"/>
      <c r="H219" s="35"/>
      <c r="I219" s="82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s="36" customFormat="1" ht="23" x14ac:dyDescent="0.25">
      <c r="A220" s="35"/>
      <c r="B220" s="35"/>
      <c r="C220" s="35"/>
      <c r="D220" s="35"/>
      <c r="E220" s="37"/>
      <c r="F220" s="35"/>
      <c r="G220" s="82"/>
      <c r="H220" s="35"/>
      <c r="I220" s="82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s="36" customFormat="1" ht="23" x14ac:dyDescent="0.25">
      <c r="A221" s="35"/>
      <c r="B221" s="35"/>
      <c r="C221" s="35"/>
      <c r="D221" s="35"/>
      <c r="E221" s="35"/>
      <c r="F221" s="35"/>
      <c r="G221" s="82"/>
      <c r="H221" s="35"/>
      <c r="I221" s="82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s="36" customFormat="1" ht="23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s="36" customFormat="1" ht="23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s="36" customFormat="1" ht="23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s="36" customFormat="1" ht="23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s="36" customFormat="1" ht="23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s="36" customFormat="1" ht="23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s="36" customFormat="1" ht="23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s="36" customFormat="1" ht="23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s="36" customFormat="1" ht="23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s="36" customFormat="1" ht="23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s="36" customFormat="1" ht="23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s="36" customFormat="1" ht="23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s="36" customFormat="1" ht="23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s="36" customFormat="1" ht="23" x14ac:dyDescent="0.25">
      <c r="A235" s="35"/>
      <c r="B235" s="35"/>
      <c r="C235" s="35"/>
      <c r="D235" s="35"/>
      <c r="E235" s="35"/>
      <c r="F235" s="35"/>
      <c r="G235" s="82"/>
      <c r="H235" s="35"/>
      <c r="I235" s="82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s="36" customFormat="1" ht="23" x14ac:dyDescent="0.25">
      <c r="A236" s="35"/>
      <c r="B236" s="35"/>
      <c r="C236" s="35"/>
      <c r="D236" s="35"/>
      <c r="E236" s="35"/>
      <c r="F236" s="35"/>
      <c r="G236" s="82"/>
      <c r="H236" s="35"/>
      <c r="I236" s="82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s="36" customFormat="1" ht="23" x14ac:dyDescent="0.25">
      <c r="A237" s="35"/>
      <c r="B237" s="35"/>
      <c r="C237" s="35"/>
      <c r="D237" s="35"/>
      <c r="E237" s="35"/>
      <c r="F237" s="35"/>
      <c r="G237" s="82"/>
      <c r="H237" s="35"/>
      <c r="I237" s="82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s="36" customFormat="1" ht="23" x14ac:dyDescent="0.25">
      <c r="A238" s="35"/>
      <c r="B238" s="35"/>
      <c r="C238" s="35"/>
      <c r="D238" s="35"/>
      <c r="E238" s="35"/>
      <c r="F238" s="35"/>
      <c r="G238" s="82"/>
      <c r="H238" s="35"/>
      <c r="I238" s="82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s="36" customFormat="1" ht="23" x14ac:dyDescent="0.25">
      <c r="A239" s="35"/>
      <c r="B239" s="35"/>
      <c r="C239" s="35"/>
      <c r="D239" s="35"/>
      <c r="E239" s="35"/>
      <c r="F239" s="35"/>
      <c r="G239" s="82"/>
      <c r="H239" s="35"/>
      <c r="I239" s="82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s="36" customFormat="1" ht="23" x14ac:dyDescent="0.25">
      <c r="A240" s="35"/>
      <c r="B240" s="35"/>
      <c r="C240" s="35"/>
      <c r="D240" s="35"/>
      <c r="E240" s="35"/>
      <c r="F240" s="35"/>
      <c r="G240" s="82"/>
      <c r="H240" s="35"/>
      <c r="I240" s="82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s="36" customFormat="1" ht="23" x14ac:dyDescent="0.25">
      <c r="A241" s="35"/>
      <c r="B241" s="35"/>
      <c r="C241" s="35"/>
      <c r="D241" s="35"/>
      <c r="E241" s="35"/>
      <c r="F241" s="35"/>
      <c r="G241" s="82"/>
      <c r="H241" s="35"/>
      <c r="I241" s="82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s="36" customFormat="1" ht="23" x14ac:dyDescent="0.25">
      <c r="A242" s="35"/>
      <c r="B242" s="35"/>
      <c r="C242" s="35"/>
      <c r="D242" s="35"/>
      <c r="E242" s="35"/>
      <c r="F242" s="35"/>
      <c r="G242" s="82"/>
      <c r="H242" s="35"/>
      <c r="I242" s="82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s="36" customFormat="1" ht="23" x14ac:dyDescent="0.25">
      <c r="A243" s="35"/>
      <c r="B243" s="35"/>
      <c r="C243" s="35"/>
      <c r="D243" s="35"/>
      <c r="E243" s="35"/>
      <c r="F243" s="35"/>
      <c r="G243" s="82"/>
      <c r="H243" s="35"/>
      <c r="I243" s="82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s="36" customFormat="1" ht="23" x14ac:dyDescent="0.25">
      <c r="A244" s="35"/>
      <c r="B244" s="35"/>
      <c r="C244" s="35"/>
      <c r="D244" s="35"/>
      <c r="E244" s="35"/>
      <c r="F244" s="35"/>
      <c r="G244" s="82"/>
      <c r="H244" s="35"/>
      <c r="I244" s="82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s="36" customFormat="1" ht="23" x14ac:dyDescent="0.25">
      <c r="A245" s="35"/>
      <c r="B245" s="35"/>
      <c r="C245" s="35"/>
      <c r="D245" s="35"/>
      <c r="E245" s="35"/>
      <c r="F245" s="35"/>
      <c r="G245" s="82"/>
      <c r="H245" s="35"/>
      <c r="I245" s="82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s="36" customFormat="1" ht="23" x14ac:dyDescent="0.25">
      <c r="A246" s="35"/>
      <c r="B246" s="35"/>
      <c r="C246" s="35"/>
      <c r="D246" s="35"/>
      <c r="E246" s="35"/>
      <c r="F246" s="35"/>
      <c r="G246" s="82"/>
      <c r="H246" s="35"/>
      <c r="I246" s="82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s="36" customFormat="1" ht="23" x14ac:dyDescent="0.25">
      <c r="A247" s="35"/>
      <c r="B247" s="35"/>
      <c r="C247" s="35"/>
      <c r="D247" s="35"/>
      <c r="E247" s="35"/>
      <c r="F247" s="35"/>
      <c r="G247" s="82"/>
      <c r="H247" s="35"/>
      <c r="I247" s="82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s="36" customFormat="1" ht="23" x14ac:dyDescent="0.25">
      <c r="A248" s="35"/>
      <c r="B248" s="35"/>
      <c r="C248" s="35"/>
      <c r="D248" s="35"/>
      <c r="E248" s="35"/>
      <c r="F248" s="35"/>
      <c r="G248" s="82"/>
      <c r="H248" s="35"/>
      <c r="I248" s="82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s="36" customFormat="1" ht="23" x14ac:dyDescent="0.25">
      <c r="A249" s="35"/>
      <c r="B249" s="35"/>
      <c r="C249" s="35"/>
      <c r="D249" s="35"/>
      <c r="E249" s="35"/>
      <c r="F249" s="35"/>
      <c r="G249" s="82"/>
      <c r="H249" s="35"/>
      <c r="I249" s="82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s="36" customFormat="1" ht="23" x14ac:dyDescent="0.25">
      <c r="A250" s="35"/>
      <c r="B250" s="35"/>
      <c r="C250" s="35"/>
      <c r="D250" s="35"/>
      <c r="E250" s="35"/>
      <c r="F250" s="35"/>
      <c r="G250" s="82"/>
      <c r="H250" s="35"/>
      <c r="I250" s="82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s="36" customFormat="1" ht="23" x14ac:dyDescent="0.25">
      <c r="A251" s="35"/>
      <c r="B251" s="35"/>
      <c r="C251" s="35"/>
      <c r="D251" s="35"/>
      <c r="E251" s="35"/>
      <c r="F251" s="35"/>
      <c r="G251" s="82"/>
      <c r="H251" s="35"/>
      <c r="I251" s="82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s="36" customFormat="1" ht="23" x14ac:dyDescent="0.25">
      <c r="A252" s="35"/>
      <c r="B252" s="35"/>
      <c r="C252" s="35"/>
      <c r="D252" s="35"/>
      <c r="E252" s="35"/>
      <c r="F252" s="35"/>
      <c r="G252" s="82"/>
      <c r="H252" s="35"/>
      <c r="I252" s="82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s="36" customFormat="1" ht="23" x14ac:dyDescent="0.25">
      <c r="A253" s="35"/>
      <c r="B253" s="35"/>
      <c r="C253" s="35"/>
      <c r="D253" s="35"/>
      <c r="E253" s="35"/>
      <c r="F253" s="35"/>
      <c r="G253" s="82"/>
      <c r="H253" s="35"/>
      <c r="I253" s="82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s="36" customFormat="1" ht="23" x14ac:dyDescent="0.25">
      <c r="A254" s="35"/>
      <c r="B254" s="35"/>
      <c r="C254" s="35"/>
      <c r="D254" s="35"/>
      <c r="E254" s="35"/>
      <c r="F254" s="35"/>
      <c r="G254" s="82"/>
      <c r="H254" s="35"/>
      <c r="I254" s="82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s="36" customFormat="1" ht="23" x14ac:dyDescent="0.25">
      <c r="A255" s="35"/>
      <c r="B255" s="35"/>
      <c r="C255" s="35"/>
      <c r="D255" s="35"/>
      <c r="E255" s="35"/>
      <c r="F255" s="35"/>
      <c r="G255" s="82"/>
      <c r="H255" s="35"/>
      <c r="I255" s="82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s="36" customFormat="1" ht="23" x14ac:dyDescent="0.25">
      <c r="A256" s="35"/>
      <c r="B256" s="35"/>
      <c r="C256" s="35"/>
      <c r="D256" s="35"/>
      <c r="E256" s="35"/>
      <c r="F256" s="35"/>
      <c r="G256" s="82"/>
      <c r="H256" s="35"/>
      <c r="I256" s="82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s="36" customFormat="1" ht="23" x14ac:dyDescent="0.25">
      <c r="A257" s="35"/>
      <c r="B257" s="35"/>
      <c r="C257" s="35"/>
      <c r="D257" s="35"/>
      <c r="E257" s="35"/>
      <c r="F257" s="35"/>
      <c r="G257" s="82"/>
      <c r="H257" s="35"/>
      <c r="I257" s="82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s="36" customFormat="1" ht="23" x14ac:dyDescent="0.25">
      <c r="A258" s="35"/>
      <c r="B258" s="35"/>
      <c r="C258" s="35"/>
      <c r="D258" s="35"/>
      <c r="E258" s="35"/>
      <c r="F258" s="35"/>
      <c r="G258" s="82"/>
      <c r="H258" s="35"/>
      <c r="I258" s="82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s="36" customFormat="1" ht="23" x14ac:dyDescent="0.25">
      <c r="A259" s="35"/>
      <c r="B259" s="35"/>
      <c r="C259" s="35"/>
      <c r="D259" s="35"/>
      <c r="E259" s="35"/>
      <c r="F259" s="35"/>
      <c r="G259" s="82"/>
      <c r="H259" s="35"/>
      <c r="I259" s="82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s="36" customFormat="1" ht="23" x14ac:dyDescent="0.25">
      <c r="A260" s="35"/>
      <c r="B260" s="35"/>
      <c r="C260" s="35"/>
      <c r="D260" s="35"/>
      <c r="E260" s="35"/>
      <c r="F260" s="35"/>
      <c r="G260" s="82"/>
      <c r="H260" s="35"/>
      <c r="I260" s="82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s="36" customFormat="1" ht="23" x14ac:dyDescent="0.25">
      <c r="A261" s="35"/>
      <c r="B261" s="35"/>
      <c r="C261" s="35"/>
      <c r="D261" s="35"/>
      <c r="E261" s="35"/>
      <c r="F261" s="35"/>
      <c r="G261" s="82"/>
      <c r="H261" s="35"/>
      <c r="I261" s="82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s="36" customFormat="1" ht="23" x14ac:dyDescent="0.25">
      <c r="A262" s="35"/>
      <c r="B262" s="35"/>
      <c r="C262" s="35"/>
      <c r="D262" s="35"/>
      <c r="E262" s="35"/>
      <c r="F262" s="35"/>
      <c r="G262" s="82"/>
      <c r="H262" s="35"/>
      <c r="I262" s="82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s="36" customFormat="1" ht="23" x14ac:dyDescent="0.25">
      <c r="A263" s="35"/>
      <c r="B263" s="35"/>
      <c r="C263" s="35"/>
      <c r="D263" s="35"/>
      <c r="E263" s="35"/>
      <c r="F263" s="35"/>
      <c r="G263" s="82"/>
      <c r="H263" s="35"/>
      <c r="I263" s="82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s="36" customFormat="1" ht="23" x14ac:dyDescent="0.25">
      <c r="A264" s="35"/>
      <c r="B264" s="35"/>
      <c r="C264" s="35"/>
      <c r="D264" s="35"/>
      <c r="E264" s="35"/>
      <c r="F264" s="35"/>
      <c r="G264" s="82"/>
      <c r="H264" s="35"/>
      <c r="I264" s="82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s="36" customFormat="1" ht="23" x14ac:dyDescent="0.25">
      <c r="A265" s="35"/>
      <c r="B265" s="35"/>
      <c r="C265" s="35"/>
      <c r="D265" s="35"/>
      <c r="E265" s="35"/>
      <c r="F265" s="35"/>
      <c r="G265" s="82"/>
      <c r="H265" s="35"/>
      <c r="I265" s="82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s="36" customFormat="1" ht="23" x14ac:dyDescent="0.25">
      <c r="A266" s="35"/>
      <c r="B266" s="35"/>
      <c r="C266" s="35"/>
      <c r="D266" s="35"/>
      <c r="E266" s="35"/>
      <c r="F266" s="35"/>
      <c r="G266" s="82"/>
      <c r="H266" s="35"/>
      <c r="I266" s="82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s="36" customFormat="1" ht="23" x14ac:dyDescent="0.25">
      <c r="A267" s="35"/>
      <c r="B267" s="35"/>
      <c r="C267" s="35"/>
      <c r="D267" s="35"/>
      <c r="E267" s="35"/>
      <c r="F267" s="35"/>
      <c r="G267" s="82"/>
      <c r="H267" s="35"/>
      <c r="I267" s="82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s="36" customFormat="1" ht="23" x14ac:dyDescent="0.25">
      <c r="A268" s="35"/>
      <c r="B268" s="35"/>
      <c r="C268" s="35"/>
      <c r="D268" s="35"/>
      <c r="E268" s="35"/>
      <c r="F268" s="35"/>
      <c r="G268" s="82"/>
      <c r="H268" s="35"/>
      <c r="I268" s="82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s="36" customFormat="1" ht="23" x14ac:dyDescent="0.25">
      <c r="A269" s="35"/>
      <c r="B269" s="35"/>
      <c r="C269" s="35"/>
      <c r="D269" s="35"/>
      <c r="E269" s="35"/>
      <c r="F269" s="35"/>
      <c r="G269" s="82"/>
      <c r="H269" s="35"/>
      <c r="I269" s="82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s="36" customFormat="1" ht="23" x14ac:dyDescent="0.25">
      <c r="A270" s="35"/>
      <c r="B270" s="35"/>
      <c r="C270" s="35"/>
      <c r="D270" s="35"/>
      <c r="E270" s="35"/>
      <c r="F270" s="35"/>
      <c r="G270" s="82"/>
      <c r="H270" s="35"/>
      <c r="I270" s="82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s="36" customFormat="1" ht="23" x14ac:dyDescent="0.25">
      <c r="A271" s="35"/>
      <c r="B271" s="35"/>
      <c r="C271" s="35"/>
      <c r="D271" s="35"/>
      <c r="E271" s="35"/>
      <c r="F271" s="35"/>
      <c r="G271" s="82"/>
      <c r="H271" s="35"/>
      <c r="I271" s="82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s="36" customFormat="1" ht="23" x14ac:dyDescent="0.25">
      <c r="A272" s="35"/>
      <c r="B272" s="35"/>
      <c r="C272" s="35"/>
      <c r="D272" s="35"/>
      <c r="E272" s="35"/>
      <c r="F272" s="35"/>
      <c r="G272" s="82"/>
      <c r="H272" s="35"/>
      <c r="I272" s="82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s="36" customFormat="1" ht="23" x14ac:dyDescent="0.25">
      <c r="A273" s="35"/>
      <c r="B273" s="35"/>
      <c r="C273" s="35"/>
      <c r="D273" s="35"/>
      <c r="E273" s="35"/>
      <c r="F273" s="35"/>
      <c r="G273" s="82"/>
      <c r="H273" s="35"/>
      <c r="I273" s="82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s="36" customFormat="1" ht="23" x14ac:dyDescent="0.25">
      <c r="A274" s="35"/>
      <c r="B274" s="35"/>
      <c r="C274" s="35"/>
      <c r="D274" s="35"/>
      <c r="E274" s="35"/>
      <c r="F274" s="35"/>
      <c r="G274" s="82"/>
      <c r="H274" s="35"/>
      <c r="I274" s="82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s="36" customFormat="1" ht="23" x14ac:dyDescent="0.25">
      <c r="A275" s="35"/>
      <c r="B275" s="35"/>
      <c r="C275" s="35"/>
      <c r="D275" s="35"/>
      <c r="E275" s="35"/>
      <c r="F275" s="35"/>
      <c r="G275" s="82"/>
      <c r="H275" s="35"/>
      <c r="I275" s="82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s="36" customFormat="1" ht="23" x14ac:dyDescent="0.25">
      <c r="A276" s="35"/>
      <c r="B276" s="35"/>
      <c r="C276" s="35"/>
      <c r="D276" s="35"/>
      <c r="E276" s="35"/>
      <c r="F276" s="35"/>
      <c r="G276" s="82"/>
      <c r="H276" s="35"/>
      <c r="I276" s="82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s="36" customFormat="1" ht="23" x14ac:dyDescent="0.25">
      <c r="A277" s="35"/>
      <c r="B277" s="35"/>
      <c r="C277" s="35"/>
      <c r="D277" s="35"/>
      <c r="E277" s="35"/>
      <c r="F277" s="35"/>
      <c r="G277" s="82"/>
      <c r="H277" s="35"/>
      <c r="I277" s="82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s="36" customFormat="1" ht="23" x14ac:dyDescent="0.25">
      <c r="A278" s="35"/>
      <c r="B278" s="35"/>
      <c r="C278" s="35"/>
      <c r="D278" s="35"/>
      <c r="E278" s="35"/>
      <c r="F278" s="35"/>
      <c r="G278" s="82"/>
      <c r="H278" s="35"/>
      <c r="I278" s="82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s="36" customFormat="1" ht="23" x14ac:dyDescent="0.25">
      <c r="A279" s="35"/>
      <c r="B279" s="35"/>
      <c r="C279" s="35"/>
      <c r="D279" s="35"/>
      <c r="E279" s="35"/>
      <c r="F279" s="35"/>
      <c r="G279" s="82"/>
      <c r="H279" s="35"/>
      <c r="I279" s="82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s="36" customFormat="1" ht="23" x14ac:dyDescent="0.25">
      <c r="A280" s="35"/>
      <c r="B280" s="35"/>
      <c r="C280" s="35"/>
      <c r="D280" s="35"/>
      <c r="E280" s="35"/>
      <c r="F280" s="35"/>
      <c r="G280" s="82"/>
      <c r="H280" s="35"/>
      <c r="I280" s="82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s="36" customFormat="1" ht="23" x14ac:dyDescent="0.25">
      <c r="A281" s="35"/>
      <c r="B281" s="35"/>
      <c r="C281" s="35"/>
      <c r="D281" s="35"/>
      <c r="E281" s="35"/>
      <c r="F281" s="35"/>
      <c r="G281" s="82"/>
      <c r="H281" s="35"/>
      <c r="I281" s="82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s="36" customFormat="1" ht="23" x14ac:dyDescent="0.25">
      <c r="A282" s="35"/>
      <c r="B282" s="35"/>
      <c r="C282" s="35"/>
      <c r="D282" s="35"/>
      <c r="E282" s="35"/>
      <c r="F282" s="35"/>
      <c r="G282" s="82"/>
      <c r="H282" s="35"/>
      <c r="I282" s="82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s="36" customFormat="1" ht="23" x14ac:dyDescent="0.25">
      <c r="A283" s="35"/>
      <c r="B283" s="35"/>
      <c r="C283" s="35"/>
      <c r="D283" s="35"/>
      <c r="E283" s="35"/>
      <c r="F283" s="35"/>
      <c r="G283" s="82"/>
      <c r="H283" s="35"/>
      <c r="I283" s="82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s="36" customFormat="1" ht="23" x14ac:dyDescent="0.25">
      <c r="A284" s="35"/>
      <c r="B284" s="35"/>
      <c r="C284" s="35"/>
      <c r="D284" s="35"/>
      <c r="E284" s="35"/>
      <c r="F284" s="35"/>
      <c r="G284" s="82"/>
      <c r="H284" s="35"/>
      <c r="I284" s="82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s="36" customFormat="1" ht="23" x14ac:dyDescent="0.25">
      <c r="A285" s="35"/>
      <c r="B285" s="35"/>
      <c r="C285" s="35"/>
      <c r="D285" s="35"/>
      <c r="E285" s="35"/>
      <c r="F285" s="35"/>
      <c r="G285" s="82"/>
      <c r="H285" s="35"/>
      <c r="I285" s="82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s="36" customFormat="1" ht="23" x14ac:dyDescent="0.25">
      <c r="A286" s="35"/>
      <c r="B286" s="35"/>
      <c r="C286" s="35"/>
      <c r="D286" s="35"/>
      <c r="E286" s="35"/>
      <c r="F286" s="35"/>
      <c r="G286" s="82"/>
      <c r="H286" s="35"/>
      <c r="I286" s="82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s="36" customFormat="1" ht="23" x14ac:dyDescent="0.25">
      <c r="A287" s="35"/>
      <c r="B287" s="35"/>
      <c r="C287" s="35"/>
      <c r="D287" s="35"/>
      <c r="E287" s="35"/>
      <c r="F287" s="35"/>
      <c r="G287" s="82"/>
      <c r="H287" s="35"/>
      <c r="I287" s="82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s="36" customFormat="1" ht="23" x14ac:dyDescent="0.25">
      <c r="A288" s="35"/>
      <c r="B288" s="35"/>
      <c r="C288" s="35"/>
      <c r="D288" s="35"/>
      <c r="E288" s="35"/>
      <c r="F288" s="35"/>
      <c r="G288" s="82"/>
      <c r="H288" s="35"/>
      <c r="I288" s="82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s="36" customFormat="1" ht="23" x14ac:dyDescent="0.25">
      <c r="A289" s="35"/>
      <c r="B289" s="35"/>
      <c r="C289" s="35"/>
      <c r="D289" s="35"/>
      <c r="E289" s="35"/>
      <c r="F289" s="35"/>
      <c r="G289" s="82"/>
      <c r="H289" s="35"/>
      <c r="I289" s="82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s="36" customFormat="1" ht="23" x14ac:dyDescent="0.25">
      <c r="A290" s="35"/>
      <c r="B290" s="35"/>
      <c r="C290" s="35"/>
      <c r="D290" s="35"/>
      <c r="E290" s="35"/>
      <c r="F290" s="35"/>
      <c r="G290" s="82"/>
      <c r="H290" s="35"/>
      <c r="I290" s="82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s="36" customFormat="1" ht="23" x14ac:dyDescent="0.25">
      <c r="A291" s="35"/>
      <c r="B291" s="35"/>
      <c r="C291" s="35"/>
      <c r="D291" s="35"/>
      <c r="E291" s="35"/>
      <c r="F291" s="35"/>
      <c r="G291" s="82"/>
      <c r="H291" s="35"/>
      <c r="I291" s="82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s="36" customFormat="1" ht="23" x14ac:dyDescent="0.25">
      <c r="A292" s="35"/>
      <c r="B292" s="35"/>
      <c r="C292" s="35"/>
      <c r="D292" s="35"/>
      <c r="E292" s="35"/>
      <c r="F292" s="35"/>
      <c r="G292" s="82"/>
      <c r="H292" s="35"/>
      <c r="I292" s="82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s="36" customFormat="1" ht="23" x14ac:dyDescent="0.25">
      <c r="A293" s="35"/>
      <c r="B293" s="35"/>
      <c r="C293" s="35"/>
      <c r="D293" s="35"/>
      <c r="E293" s="35"/>
      <c r="F293" s="35"/>
      <c r="G293" s="82"/>
      <c r="H293" s="35"/>
      <c r="I293" s="82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s="36" customFormat="1" ht="23" x14ac:dyDescent="0.25">
      <c r="A294" s="35"/>
      <c r="B294" s="35"/>
      <c r="C294" s="35"/>
      <c r="D294" s="35"/>
      <c r="E294" s="35"/>
      <c r="F294" s="35"/>
      <c r="G294" s="82"/>
      <c r="H294" s="35"/>
      <c r="I294" s="82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s="36" customFormat="1" ht="23" x14ac:dyDescent="0.25">
      <c r="A295" s="35"/>
      <c r="B295" s="35"/>
      <c r="C295" s="35"/>
      <c r="D295" s="35"/>
      <c r="E295" s="35"/>
      <c r="F295" s="35"/>
      <c r="G295" s="82"/>
      <c r="H295" s="35"/>
      <c r="I295" s="82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s="36" customFormat="1" ht="23" x14ac:dyDescent="0.25">
      <c r="A296" s="35"/>
      <c r="B296" s="35"/>
      <c r="C296" s="35"/>
      <c r="D296" s="35"/>
      <c r="E296" s="35"/>
      <c r="F296" s="35"/>
      <c r="G296" s="82"/>
      <c r="H296" s="35"/>
      <c r="I296" s="82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s="36" customFormat="1" ht="23" x14ac:dyDescent="0.25">
      <c r="A297" s="35"/>
      <c r="B297" s="35"/>
      <c r="C297" s="35"/>
      <c r="D297" s="35"/>
      <c r="E297" s="35"/>
      <c r="F297" s="35"/>
      <c r="G297" s="82"/>
      <c r="H297" s="35"/>
      <c r="I297" s="82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s="36" customFormat="1" ht="23" x14ac:dyDescent="0.25">
      <c r="A298" s="35"/>
      <c r="B298" s="35"/>
      <c r="C298" s="35"/>
      <c r="D298" s="35"/>
      <c r="E298" s="35"/>
      <c r="F298" s="35"/>
      <c r="G298" s="82"/>
      <c r="H298" s="35"/>
      <c r="I298" s="82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s="36" customFormat="1" ht="23" x14ac:dyDescent="0.25">
      <c r="A299" s="35"/>
      <c r="B299" s="35"/>
      <c r="C299" s="35"/>
      <c r="D299" s="35"/>
      <c r="E299" s="35"/>
      <c r="F299" s="35"/>
      <c r="G299" s="82"/>
      <c r="H299" s="35"/>
      <c r="I299" s="82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s="36" customFormat="1" ht="23" x14ac:dyDescent="0.25">
      <c r="A300" s="35"/>
      <c r="B300" s="35"/>
      <c r="C300" s="35"/>
      <c r="D300" s="35"/>
      <c r="E300" s="35"/>
      <c r="F300" s="35"/>
      <c r="G300" s="82"/>
      <c r="H300" s="35"/>
      <c r="I300" s="82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s="36" customFormat="1" ht="23" x14ac:dyDescent="0.25">
      <c r="A301" s="35"/>
      <c r="B301" s="35"/>
      <c r="C301" s="35"/>
      <c r="D301" s="35"/>
      <c r="E301" s="35"/>
      <c r="F301" s="35"/>
      <c r="G301" s="82"/>
      <c r="H301" s="35"/>
      <c r="I301" s="82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s="36" customFormat="1" ht="23" x14ac:dyDescent="0.25">
      <c r="A302" s="35"/>
      <c r="B302" s="35"/>
      <c r="C302" s="35"/>
      <c r="D302" s="35"/>
      <c r="E302" s="35"/>
      <c r="F302" s="35"/>
      <c r="G302" s="82"/>
      <c r="H302" s="35"/>
      <c r="I302" s="82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s="36" customFormat="1" ht="23" x14ac:dyDescent="0.25">
      <c r="A303" s="35"/>
      <c r="B303" s="35"/>
      <c r="C303" s="35"/>
      <c r="D303" s="35"/>
      <c r="E303" s="35"/>
      <c r="F303" s="35"/>
      <c r="G303" s="82"/>
      <c r="H303" s="35"/>
      <c r="I303" s="82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s="36" customFormat="1" ht="23" x14ac:dyDescent="0.25">
      <c r="A304" s="35"/>
      <c r="B304" s="35"/>
      <c r="C304" s="35"/>
      <c r="D304" s="35"/>
      <c r="E304" s="35"/>
      <c r="F304" s="35"/>
      <c r="G304" s="82"/>
      <c r="H304" s="35"/>
      <c r="I304" s="82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s="36" customFormat="1" ht="23" x14ac:dyDescent="0.25">
      <c r="A305" s="35"/>
      <c r="B305" s="35"/>
      <c r="C305" s="35"/>
      <c r="D305" s="35"/>
      <c r="E305" s="35"/>
      <c r="F305" s="35"/>
      <c r="G305" s="82"/>
      <c r="H305" s="35"/>
      <c r="I305" s="82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s="36" customFormat="1" ht="23" x14ac:dyDescent="0.25">
      <c r="A306" s="35"/>
      <c r="B306" s="35"/>
      <c r="C306" s="35"/>
      <c r="D306" s="35"/>
      <c r="E306" s="35"/>
      <c r="F306" s="35"/>
      <c r="G306" s="82"/>
      <c r="H306" s="35"/>
      <c r="I306" s="82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s="36" customFormat="1" ht="23" x14ac:dyDescent="0.25">
      <c r="A307" s="35"/>
      <c r="B307" s="35"/>
      <c r="C307" s="35"/>
      <c r="D307" s="35"/>
      <c r="E307" s="35"/>
      <c r="F307" s="35"/>
      <c r="G307" s="82"/>
      <c r="H307" s="35"/>
      <c r="I307" s="82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s="36" customFormat="1" ht="23" x14ac:dyDescent="0.25">
      <c r="A308" s="35"/>
      <c r="B308" s="35"/>
      <c r="C308" s="35"/>
      <c r="D308" s="35"/>
      <c r="E308" s="35"/>
      <c r="F308" s="35"/>
      <c r="G308" s="82"/>
      <c r="H308" s="35"/>
      <c r="I308" s="82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s="36" customFormat="1" ht="23" x14ac:dyDescent="0.25">
      <c r="A309" s="35"/>
      <c r="B309" s="35"/>
      <c r="C309" s="35"/>
      <c r="D309" s="35"/>
      <c r="E309" s="35"/>
      <c r="F309" s="35"/>
      <c r="G309" s="82"/>
      <c r="H309" s="35"/>
      <c r="I309" s="82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s="36" customFormat="1" ht="23" x14ac:dyDescent="0.25">
      <c r="A310" s="35"/>
      <c r="B310" s="35"/>
      <c r="C310" s="35"/>
      <c r="D310" s="35"/>
      <c r="E310" s="35"/>
      <c r="F310" s="35"/>
      <c r="G310" s="82"/>
      <c r="H310" s="35"/>
      <c r="I310" s="82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s="36" customFormat="1" ht="23" x14ac:dyDescent="0.25">
      <c r="A311" s="35"/>
      <c r="B311" s="35"/>
      <c r="C311" s="35"/>
      <c r="D311" s="35"/>
      <c r="E311" s="35"/>
      <c r="F311" s="35"/>
      <c r="G311" s="82"/>
      <c r="H311" s="35"/>
      <c r="I311" s="82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s="36" customFormat="1" ht="23" x14ac:dyDescent="0.25">
      <c r="A312" s="35"/>
      <c r="B312" s="35"/>
      <c r="C312" s="35"/>
      <c r="D312" s="35"/>
      <c r="E312" s="35"/>
      <c r="F312" s="35"/>
      <c r="G312" s="82"/>
      <c r="H312" s="35"/>
      <c r="I312" s="82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s="36" customFormat="1" ht="23" x14ac:dyDescent="0.25">
      <c r="A313" s="35"/>
      <c r="B313" s="35"/>
      <c r="C313" s="35"/>
      <c r="D313" s="35"/>
      <c r="E313" s="35"/>
      <c r="F313" s="35"/>
      <c r="G313" s="82"/>
      <c r="H313" s="35"/>
      <c r="I313" s="82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s="36" customFormat="1" ht="23" x14ac:dyDescent="0.25">
      <c r="A314" s="35"/>
      <c r="B314" s="35"/>
      <c r="C314" s="35"/>
      <c r="D314" s="35"/>
      <c r="E314" s="35"/>
      <c r="F314" s="35"/>
      <c r="G314" s="82"/>
      <c r="H314" s="35"/>
      <c r="I314" s="82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s="36" customFormat="1" ht="23" x14ac:dyDescent="0.25">
      <c r="A315" s="35"/>
      <c r="B315" s="35"/>
      <c r="C315" s="35"/>
      <c r="D315" s="35"/>
      <c r="E315" s="35"/>
      <c r="F315" s="35"/>
      <c r="G315" s="82"/>
      <c r="H315" s="35"/>
      <c r="I315" s="82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s="36" customFormat="1" ht="23" x14ac:dyDescent="0.25">
      <c r="A316" s="35"/>
      <c r="B316" s="35"/>
      <c r="C316" s="35"/>
      <c r="D316" s="35"/>
      <c r="E316" s="35"/>
      <c r="F316" s="35"/>
      <c r="G316" s="82"/>
      <c r="H316" s="35"/>
      <c r="I316" s="82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s="36" customFormat="1" ht="23" x14ac:dyDescent="0.25">
      <c r="A317" s="35"/>
      <c r="B317" s="35"/>
      <c r="C317" s="35"/>
      <c r="D317" s="35"/>
      <c r="E317" s="35"/>
      <c r="F317" s="35"/>
      <c r="G317" s="82"/>
      <c r="H317" s="35"/>
      <c r="I317" s="82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s="36" customFormat="1" ht="23" x14ac:dyDescent="0.25">
      <c r="A318" s="35"/>
      <c r="B318" s="35"/>
      <c r="C318" s="35"/>
      <c r="D318" s="35"/>
      <c r="E318" s="35"/>
      <c r="F318" s="35"/>
      <c r="G318" s="82"/>
      <c r="H318" s="35"/>
      <c r="I318" s="82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s="36" customFormat="1" ht="23" x14ac:dyDescent="0.25">
      <c r="A319" s="35"/>
      <c r="B319" s="35"/>
      <c r="C319" s="35"/>
      <c r="D319" s="35"/>
      <c r="E319" s="35"/>
      <c r="F319" s="35"/>
      <c r="G319" s="82"/>
      <c r="H319" s="35"/>
      <c r="I319" s="82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s="36" customFormat="1" ht="23" x14ac:dyDescent="0.25">
      <c r="A320" s="35"/>
      <c r="B320" s="35"/>
      <c r="C320" s="35"/>
      <c r="D320" s="35"/>
      <c r="E320" s="35"/>
      <c r="F320" s="35"/>
      <c r="G320" s="82"/>
      <c r="H320" s="35"/>
      <c r="I320" s="82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35" s="36" customFormat="1" ht="23" x14ac:dyDescent="0.25">
      <c r="A321" s="35"/>
      <c r="B321" s="35"/>
      <c r="C321" s="35"/>
      <c r="D321" s="35"/>
      <c r="E321" s="35"/>
      <c r="F321" s="35"/>
      <c r="G321" s="82"/>
      <c r="H321" s="35"/>
      <c r="I321" s="82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35" s="36" customFormat="1" ht="23" x14ac:dyDescent="0.25">
      <c r="A322" s="35"/>
      <c r="B322" s="35"/>
      <c r="C322" s="35"/>
      <c r="D322" s="35"/>
      <c r="E322" s="35"/>
      <c r="F322" s="35"/>
      <c r="G322" s="82"/>
      <c r="H322" s="35"/>
      <c r="I322" s="82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35" s="36" customFormat="1" ht="23" x14ac:dyDescent="0.25">
      <c r="A323" s="35"/>
      <c r="B323" s="35"/>
      <c r="C323" s="35"/>
      <c r="D323" s="35"/>
      <c r="E323" s="35"/>
      <c r="F323" s="35"/>
      <c r="G323" s="82"/>
      <c r="H323" s="35"/>
      <c r="I323" s="82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35" s="36" customFormat="1" ht="23" x14ac:dyDescent="0.25">
      <c r="A324" s="35"/>
      <c r="B324" s="35"/>
      <c r="C324" s="35"/>
      <c r="D324" s="35"/>
      <c r="E324" s="35"/>
      <c r="F324" s="35"/>
      <c r="G324" s="82"/>
      <c r="H324" s="35"/>
      <c r="I324" s="82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35" s="36" customFormat="1" ht="23" x14ac:dyDescent="0.25">
      <c r="A325" s="35"/>
      <c r="B325" s="35"/>
      <c r="C325" s="35"/>
      <c r="D325" s="35"/>
      <c r="E325" s="35"/>
      <c r="F325" s="35"/>
      <c r="G325" s="82"/>
      <c r="H325" s="35"/>
      <c r="I325" s="82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35" s="36" customFormat="1" ht="23" x14ac:dyDescent="0.25">
      <c r="A326" s="35"/>
      <c r="B326" s="35"/>
      <c r="C326" s="35"/>
      <c r="D326" s="35"/>
      <c r="E326" s="35"/>
      <c r="F326" s="35"/>
      <c r="G326" s="82"/>
      <c r="H326" s="35"/>
      <c r="I326" s="82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35" s="36" customFormat="1" ht="23" x14ac:dyDescent="0.25">
      <c r="A327" s="35"/>
      <c r="B327" s="35"/>
      <c r="C327" s="35"/>
      <c r="D327" s="35"/>
      <c r="E327" s="35"/>
      <c r="F327" s="35"/>
      <c r="G327" s="82"/>
      <c r="H327" s="35"/>
      <c r="I327" s="82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35" s="62" customFormat="1" ht="23" x14ac:dyDescent="0.25">
      <c r="A328" s="60"/>
      <c r="B328" s="60"/>
      <c r="C328" s="60"/>
      <c r="D328" s="60"/>
      <c r="E328" s="60"/>
      <c r="F328" s="60"/>
      <c r="G328" s="61"/>
      <c r="H328" s="60"/>
      <c r="I328" s="61"/>
      <c r="J328" s="60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6"/>
      <c r="AB328" s="36"/>
      <c r="AC328" s="36"/>
      <c r="AD328" s="36"/>
      <c r="AE328" s="36"/>
      <c r="AF328" s="36"/>
      <c r="AG328" s="36"/>
      <c r="AH328" s="36"/>
      <c r="AI328" s="36"/>
    </row>
    <row r="329" spans="1:35" s="62" customFormat="1" ht="23" x14ac:dyDescent="0.25">
      <c r="A329" s="60"/>
      <c r="B329" s="60"/>
      <c r="C329" s="60"/>
      <c r="D329" s="60"/>
      <c r="E329" s="60"/>
      <c r="F329" s="60"/>
      <c r="G329" s="61"/>
      <c r="H329" s="60"/>
      <c r="I329" s="61"/>
      <c r="J329" s="60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6"/>
      <c r="AB329" s="36"/>
      <c r="AC329" s="36"/>
      <c r="AD329" s="36"/>
      <c r="AE329" s="36"/>
      <c r="AF329" s="36"/>
      <c r="AG329" s="36"/>
      <c r="AH329" s="36"/>
      <c r="AI329" s="36"/>
    </row>
    <row r="330" spans="1:35" s="62" customFormat="1" ht="23" x14ac:dyDescent="0.25">
      <c r="A330" s="60"/>
      <c r="B330" s="60"/>
      <c r="C330" s="60"/>
      <c r="D330" s="60"/>
      <c r="E330" s="60"/>
      <c r="F330" s="60"/>
      <c r="G330" s="61"/>
      <c r="H330" s="60"/>
      <c r="I330" s="61"/>
      <c r="J330" s="60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6"/>
      <c r="AB330" s="36"/>
      <c r="AC330" s="36"/>
      <c r="AD330" s="36"/>
      <c r="AE330" s="36"/>
      <c r="AF330" s="36"/>
      <c r="AG330" s="36"/>
      <c r="AH330" s="36"/>
      <c r="AI330" s="36"/>
    </row>
    <row r="331" spans="1:35" s="62" customFormat="1" ht="23" x14ac:dyDescent="0.25">
      <c r="A331" s="60"/>
      <c r="B331" s="60"/>
      <c r="C331" s="60"/>
      <c r="D331" s="60"/>
      <c r="E331" s="60"/>
      <c r="F331" s="60"/>
      <c r="G331" s="61"/>
      <c r="H331" s="60"/>
      <c r="I331" s="61"/>
      <c r="J331" s="60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6"/>
      <c r="AB331" s="36"/>
      <c r="AC331" s="36"/>
      <c r="AD331" s="36"/>
      <c r="AE331" s="36"/>
      <c r="AF331" s="36"/>
      <c r="AG331" s="36"/>
      <c r="AH331" s="36"/>
      <c r="AI331" s="36"/>
    </row>
    <row r="332" spans="1:35" s="62" customFormat="1" ht="23" x14ac:dyDescent="0.25">
      <c r="A332" s="60"/>
      <c r="B332" s="60"/>
      <c r="C332" s="60"/>
      <c r="D332" s="60"/>
      <c r="E332" s="60"/>
      <c r="F332" s="60"/>
      <c r="G332" s="61"/>
      <c r="H332" s="60"/>
      <c r="I332" s="61"/>
      <c r="J332" s="60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6"/>
      <c r="AB332" s="36"/>
      <c r="AC332" s="36"/>
      <c r="AD332" s="36"/>
      <c r="AE332" s="36"/>
      <c r="AF332" s="36"/>
      <c r="AG332" s="36"/>
      <c r="AH332" s="36"/>
      <c r="AI332" s="36"/>
    </row>
    <row r="333" spans="1:35" s="62" customFormat="1" ht="23" x14ac:dyDescent="0.25">
      <c r="A333" s="60"/>
      <c r="B333" s="60"/>
      <c r="C333" s="60"/>
      <c r="D333" s="60"/>
      <c r="E333" s="60"/>
      <c r="F333" s="60"/>
      <c r="G333" s="61"/>
      <c r="H333" s="60"/>
      <c r="I333" s="61"/>
      <c r="J333" s="60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6"/>
      <c r="AB333" s="36"/>
      <c r="AC333" s="36"/>
      <c r="AD333" s="36"/>
      <c r="AE333" s="36"/>
      <c r="AF333" s="36"/>
      <c r="AG333" s="36"/>
      <c r="AH333" s="36"/>
      <c r="AI333" s="36"/>
    </row>
    <row r="334" spans="1:35" s="62" customFormat="1" ht="23" x14ac:dyDescent="0.25">
      <c r="A334" s="60"/>
      <c r="B334" s="60"/>
      <c r="C334" s="60"/>
      <c r="D334" s="60"/>
      <c r="E334" s="60"/>
      <c r="F334" s="60"/>
      <c r="G334" s="61"/>
      <c r="H334" s="60"/>
      <c r="I334" s="61"/>
      <c r="J334" s="60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6"/>
      <c r="AB334" s="36"/>
      <c r="AC334" s="36"/>
      <c r="AD334" s="36"/>
      <c r="AE334" s="36"/>
      <c r="AF334" s="36"/>
      <c r="AG334" s="36"/>
      <c r="AH334" s="36"/>
      <c r="AI334" s="36"/>
    </row>
    <row r="335" spans="1:35" s="62" customFormat="1" ht="23" x14ac:dyDescent="0.25">
      <c r="A335" s="60"/>
      <c r="B335" s="60"/>
      <c r="C335" s="60"/>
      <c r="D335" s="60"/>
      <c r="E335" s="60"/>
      <c r="F335" s="60"/>
      <c r="G335" s="61"/>
      <c r="H335" s="60"/>
      <c r="I335" s="61"/>
      <c r="J335" s="60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6"/>
      <c r="AB335" s="36"/>
      <c r="AC335" s="36"/>
      <c r="AD335" s="36"/>
      <c r="AE335" s="36"/>
      <c r="AF335" s="36"/>
      <c r="AG335" s="36"/>
      <c r="AH335" s="36"/>
      <c r="AI335" s="36"/>
    </row>
    <row r="336" spans="1:35" s="62" customFormat="1" ht="23" x14ac:dyDescent="0.25">
      <c r="A336" s="60"/>
      <c r="B336" s="60"/>
      <c r="C336" s="60"/>
      <c r="D336" s="60"/>
      <c r="E336" s="60"/>
      <c r="F336" s="60"/>
      <c r="G336" s="61"/>
      <c r="H336" s="60"/>
      <c r="I336" s="61"/>
      <c r="J336" s="60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6"/>
      <c r="AB336" s="36"/>
      <c r="AC336" s="36"/>
      <c r="AD336" s="36"/>
      <c r="AE336" s="36"/>
      <c r="AF336" s="36"/>
      <c r="AG336" s="36"/>
      <c r="AH336" s="36"/>
      <c r="AI336" s="36"/>
    </row>
    <row r="337" spans="1:35" s="62" customFormat="1" ht="23" x14ac:dyDescent="0.25">
      <c r="A337" s="60"/>
      <c r="B337" s="60"/>
      <c r="C337" s="60"/>
      <c r="D337" s="60"/>
      <c r="E337" s="60"/>
      <c r="F337" s="60"/>
      <c r="G337" s="61"/>
      <c r="H337" s="60"/>
      <c r="I337" s="61"/>
      <c r="J337" s="60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6"/>
      <c r="AB337" s="36"/>
      <c r="AC337" s="36"/>
      <c r="AD337" s="36"/>
      <c r="AE337" s="36"/>
      <c r="AF337" s="36"/>
      <c r="AG337" s="36"/>
      <c r="AH337" s="36"/>
      <c r="AI337" s="36"/>
    </row>
    <row r="338" spans="1:35" s="62" customFormat="1" ht="23" x14ac:dyDescent="0.25">
      <c r="A338" s="60"/>
      <c r="B338" s="60"/>
      <c r="C338" s="60"/>
      <c r="D338" s="60"/>
      <c r="E338" s="60"/>
      <c r="F338" s="60"/>
      <c r="G338" s="61"/>
      <c r="H338" s="60"/>
      <c r="I338" s="61"/>
      <c r="J338" s="60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6"/>
      <c r="AB338" s="36"/>
      <c r="AC338" s="36"/>
      <c r="AD338" s="36"/>
      <c r="AE338" s="36"/>
      <c r="AF338" s="36"/>
      <c r="AG338" s="36"/>
      <c r="AH338" s="36"/>
      <c r="AI338" s="36"/>
    </row>
    <row r="339" spans="1:35" s="62" customFormat="1" ht="23" x14ac:dyDescent="0.25">
      <c r="A339" s="60"/>
      <c r="B339" s="60"/>
      <c r="C339" s="60"/>
      <c r="D339" s="60"/>
      <c r="E339" s="60"/>
      <c r="F339" s="60"/>
      <c r="G339" s="61"/>
      <c r="H339" s="60"/>
      <c r="I339" s="61"/>
      <c r="J339" s="60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6"/>
      <c r="AB339" s="36"/>
      <c r="AC339" s="36"/>
      <c r="AD339" s="36"/>
      <c r="AE339" s="36"/>
      <c r="AF339" s="36"/>
      <c r="AG339" s="36"/>
      <c r="AH339" s="36"/>
      <c r="AI339" s="36"/>
    </row>
    <row r="340" spans="1:35" s="62" customFormat="1" ht="23" x14ac:dyDescent="0.25">
      <c r="A340" s="60"/>
      <c r="B340" s="60"/>
      <c r="C340" s="60"/>
      <c r="D340" s="60"/>
      <c r="E340" s="60"/>
      <c r="F340" s="60"/>
      <c r="G340" s="61"/>
      <c r="H340" s="60"/>
      <c r="I340" s="61"/>
      <c r="J340" s="60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6"/>
      <c r="AB340" s="36"/>
      <c r="AC340" s="36"/>
      <c r="AD340" s="36"/>
      <c r="AE340" s="36"/>
      <c r="AF340" s="36"/>
      <c r="AG340" s="36"/>
      <c r="AH340" s="36"/>
      <c r="AI340" s="36"/>
    </row>
    <row r="341" spans="1:35" s="62" customFormat="1" ht="23" x14ac:dyDescent="0.25">
      <c r="A341" s="60"/>
      <c r="B341" s="60"/>
      <c r="C341" s="60"/>
      <c r="D341" s="60"/>
      <c r="E341" s="60"/>
      <c r="F341" s="60"/>
      <c r="G341" s="61"/>
      <c r="H341" s="60"/>
      <c r="I341" s="61"/>
      <c r="J341" s="60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6"/>
      <c r="AB341" s="36"/>
      <c r="AC341" s="36"/>
      <c r="AD341" s="36"/>
      <c r="AE341" s="36"/>
      <c r="AF341" s="36"/>
      <c r="AG341" s="36"/>
      <c r="AH341" s="36"/>
      <c r="AI341" s="36"/>
    </row>
    <row r="342" spans="1:35" s="62" customFormat="1" ht="23" x14ac:dyDescent="0.25">
      <c r="A342" s="60"/>
      <c r="B342" s="60"/>
      <c r="C342" s="60"/>
      <c r="D342" s="60"/>
      <c r="E342" s="60"/>
      <c r="F342" s="60"/>
      <c r="G342" s="61"/>
      <c r="H342" s="60"/>
      <c r="I342" s="61"/>
      <c r="J342" s="60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6"/>
      <c r="AB342" s="36"/>
      <c r="AC342" s="36"/>
      <c r="AD342" s="36"/>
      <c r="AE342" s="36"/>
      <c r="AF342" s="36"/>
      <c r="AG342" s="36"/>
      <c r="AH342" s="36"/>
      <c r="AI342" s="36"/>
    </row>
    <row r="343" spans="1:35" s="62" customFormat="1" ht="23" x14ac:dyDescent="0.25">
      <c r="A343" s="60"/>
      <c r="B343" s="60"/>
      <c r="C343" s="60"/>
      <c r="D343" s="60"/>
      <c r="E343" s="60"/>
      <c r="F343" s="60"/>
      <c r="G343" s="61"/>
      <c r="H343" s="60"/>
      <c r="I343" s="61"/>
      <c r="J343" s="60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6"/>
      <c r="AB343" s="36"/>
      <c r="AC343" s="36"/>
      <c r="AD343" s="36"/>
      <c r="AE343" s="36"/>
      <c r="AF343" s="36"/>
      <c r="AG343" s="36"/>
      <c r="AH343" s="36"/>
      <c r="AI343" s="36"/>
    </row>
    <row r="344" spans="1:35" s="62" customFormat="1" ht="23" x14ac:dyDescent="0.25">
      <c r="A344" s="60"/>
      <c r="B344" s="60"/>
      <c r="C344" s="60"/>
      <c r="D344" s="60"/>
      <c r="E344" s="60"/>
      <c r="F344" s="60"/>
      <c r="G344" s="61"/>
      <c r="H344" s="60"/>
      <c r="I344" s="61"/>
      <c r="J344" s="60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6"/>
      <c r="AB344" s="36"/>
      <c r="AC344" s="36"/>
      <c r="AD344" s="36"/>
      <c r="AE344" s="36"/>
      <c r="AF344" s="36"/>
      <c r="AG344" s="36"/>
      <c r="AH344" s="36"/>
      <c r="AI344" s="36"/>
    </row>
    <row r="345" spans="1:35" s="62" customFormat="1" ht="23" x14ac:dyDescent="0.25">
      <c r="A345" s="60"/>
      <c r="B345" s="60"/>
      <c r="C345" s="60"/>
      <c r="D345" s="60"/>
      <c r="E345" s="60"/>
      <c r="F345" s="60"/>
      <c r="G345" s="61"/>
      <c r="H345" s="60"/>
      <c r="I345" s="61"/>
      <c r="J345" s="60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6"/>
      <c r="AB345" s="36"/>
      <c r="AC345" s="36"/>
      <c r="AD345" s="36"/>
      <c r="AE345" s="36"/>
      <c r="AF345" s="36"/>
      <c r="AG345" s="36"/>
      <c r="AH345" s="36"/>
      <c r="AI345" s="36"/>
    </row>
    <row r="346" spans="1:35" s="62" customFormat="1" ht="23" x14ac:dyDescent="0.25">
      <c r="A346" s="60"/>
      <c r="B346" s="60"/>
      <c r="C346" s="60"/>
      <c r="D346" s="60"/>
      <c r="E346" s="60"/>
      <c r="F346" s="60"/>
      <c r="G346" s="61"/>
      <c r="H346" s="60"/>
      <c r="I346" s="61"/>
      <c r="J346" s="60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6"/>
      <c r="AB346" s="36"/>
      <c r="AC346" s="36"/>
      <c r="AD346" s="36"/>
      <c r="AE346" s="36"/>
      <c r="AF346" s="36"/>
      <c r="AG346" s="36"/>
      <c r="AH346" s="36"/>
      <c r="AI346" s="36"/>
    </row>
    <row r="347" spans="1:35" s="62" customFormat="1" ht="23" x14ac:dyDescent="0.25">
      <c r="A347" s="60"/>
      <c r="B347" s="60"/>
      <c r="C347" s="60"/>
      <c r="D347" s="60"/>
      <c r="E347" s="60"/>
      <c r="F347" s="60"/>
      <c r="G347" s="61"/>
      <c r="H347" s="60"/>
      <c r="I347" s="61"/>
      <c r="J347" s="60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6"/>
      <c r="AB347" s="36"/>
      <c r="AC347" s="36"/>
      <c r="AD347" s="36"/>
      <c r="AE347" s="36"/>
      <c r="AF347" s="36"/>
      <c r="AG347" s="36"/>
      <c r="AH347" s="36"/>
      <c r="AI347" s="36"/>
    </row>
    <row r="348" spans="1:35" s="62" customFormat="1" ht="23" x14ac:dyDescent="0.25">
      <c r="A348" s="60"/>
      <c r="B348" s="60"/>
      <c r="C348" s="60"/>
      <c r="D348" s="60"/>
      <c r="E348" s="60"/>
      <c r="F348" s="60"/>
      <c r="G348" s="61"/>
      <c r="H348" s="60"/>
      <c r="I348" s="61"/>
      <c r="J348" s="60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6"/>
      <c r="AB348" s="36"/>
      <c r="AC348" s="36"/>
      <c r="AD348" s="36"/>
      <c r="AE348" s="36"/>
      <c r="AF348" s="36"/>
      <c r="AG348" s="36"/>
      <c r="AH348" s="36"/>
      <c r="AI348" s="36"/>
    </row>
    <row r="349" spans="1:35" s="62" customFormat="1" ht="23" x14ac:dyDescent="0.25">
      <c r="A349" s="60"/>
      <c r="B349" s="60"/>
      <c r="C349" s="60"/>
      <c r="D349" s="60"/>
      <c r="E349" s="60"/>
      <c r="F349" s="60"/>
      <c r="G349" s="61"/>
      <c r="H349" s="60"/>
      <c r="I349" s="61"/>
      <c r="J349" s="60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6"/>
      <c r="AB349" s="36"/>
      <c r="AC349" s="36"/>
      <c r="AD349" s="36"/>
      <c r="AE349" s="36"/>
      <c r="AF349" s="36"/>
      <c r="AG349" s="36"/>
      <c r="AH349" s="36"/>
      <c r="AI349" s="36"/>
    </row>
    <row r="350" spans="1:35" s="62" customFormat="1" ht="23" x14ac:dyDescent="0.25">
      <c r="A350" s="60"/>
      <c r="B350" s="60"/>
      <c r="C350" s="60"/>
      <c r="D350" s="60"/>
      <c r="E350" s="60"/>
      <c r="F350" s="60"/>
      <c r="G350" s="61"/>
      <c r="H350" s="60"/>
      <c r="I350" s="61"/>
      <c r="J350" s="60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6"/>
      <c r="AB350" s="36"/>
      <c r="AC350" s="36"/>
      <c r="AD350" s="36"/>
      <c r="AE350" s="36"/>
      <c r="AF350" s="36"/>
      <c r="AG350" s="36"/>
      <c r="AH350" s="36"/>
      <c r="AI350" s="36"/>
    </row>
    <row r="351" spans="1:35" s="62" customFormat="1" ht="23" x14ac:dyDescent="0.25">
      <c r="A351" s="60"/>
      <c r="B351" s="60"/>
      <c r="C351" s="60"/>
      <c r="D351" s="60"/>
      <c r="E351" s="60"/>
      <c r="F351" s="60"/>
      <c r="G351" s="61"/>
      <c r="H351" s="60"/>
      <c r="I351" s="61"/>
      <c r="J351" s="60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6"/>
      <c r="AB351" s="36"/>
      <c r="AC351" s="36"/>
      <c r="AD351" s="36"/>
      <c r="AE351" s="36"/>
      <c r="AF351" s="36"/>
      <c r="AG351" s="36"/>
      <c r="AH351" s="36"/>
      <c r="AI351" s="36"/>
    </row>
    <row r="352" spans="1:35" s="62" customFormat="1" ht="23" x14ac:dyDescent="0.25">
      <c r="A352" s="60"/>
      <c r="B352" s="60"/>
      <c r="C352" s="60"/>
      <c r="D352" s="60"/>
      <c r="E352" s="60"/>
      <c r="F352" s="60"/>
      <c r="G352" s="61"/>
      <c r="H352" s="60"/>
      <c r="I352" s="61"/>
      <c r="J352" s="60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6"/>
      <c r="AB352" s="36"/>
      <c r="AC352" s="36"/>
      <c r="AD352" s="36"/>
      <c r="AE352" s="36"/>
      <c r="AF352" s="36"/>
      <c r="AG352" s="36"/>
      <c r="AH352" s="36"/>
      <c r="AI352" s="36"/>
    </row>
    <row r="353" spans="1:35" s="62" customFormat="1" ht="23" x14ac:dyDescent="0.25">
      <c r="A353" s="60"/>
      <c r="B353" s="60"/>
      <c r="C353" s="60"/>
      <c r="D353" s="60"/>
      <c r="E353" s="60"/>
      <c r="F353" s="60"/>
      <c r="G353" s="61"/>
      <c r="H353" s="60"/>
      <c r="I353" s="61"/>
      <c r="J353" s="60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6"/>
      <c r="AB353" s="36"/>
      <c r="AC353" s="36"/>
      <c r="AD353" s="36"/>
      <c r="AE353" s="36"/>
      <c r="AF353" s="36"/>
      <c r="AG353" s="36"/>
      <c r="AH353" s="36"/>
      <c r="AI353" s="36"/>
    </row>
    <row r="354" spans="1:35" s="62" customFormat="1" ht="23" x14ac:dyDescent="0.25">
      <c r="A354" s="60"/>
      <c r="B354" s="60"/>
      <c r="C354" s="60"/>
      <c r="D354" s="60"/>
      <c r="E354" s="60"/>
      <c r="F354" s="60"/>
      <c r="G354" s="61"/>
      <c r="H354" s="60"/>
      <c r="I354" s="61"/>
      <c r="J354" s="60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6"/>
      <c r="AB354" s="36"/>
      <c r="AC354" s="36"/>
      <c r="AD354" s="36"/>
      <c r="AE354" s="36"/>
      <c r="AF354" s="36"/>
      <c r="AG354" s="36"/>
      <c r="AH354" s="36"/>
      <c r="AI354" s="36"/>
    </row>
    <row r="355" spans="1:35" s="62" customFormat="1" ht="23" x14ac:dyDescent="0.25">
      <c r="A355" s="60"/>
      <c r="B355" s="60"/>
      <c r="C355" s="60"/>
      <c r="D355" s="60"/>
      <c r="E355" s="60"/>
      <c r="F355" s="60"/>
      <c r="G355" s="61"/>
      <c r="H355" s="60"/>
      <c r="I355" s="61"/>
      <c r="J355" s="60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6"/>
      <c r="AB355" s="36"/>
      <c r="AC355" s="36"/>
      <c r="AD355" s="36"/>
      <c r="AE355" s="36"/>
      <c r="AF355" s="36"/>
      <c r="AG355" s="36"/>
      <c r="AH355" s="36"/>
      <c r="AI355" s="36"/>
    </row>
    <row r="356" spans="1:35" s="62" customFormat="1" ht="23" x14ac:dyDescent="0.25">
      <c r="A356" s="60"/>
      <c r="B356" s="60"/>
      <c r="C356" s="60"/>
      <c r="D356" s="60"/>
      <c r="E356" s="60"/>
      <c r="F356" s="60"/>
      <c r="G356" s="61"/>
      <c r="H356" s="60"/>
      <c r="I356" s="61"/>
      <c r="J356" s="60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6"/>
      <c r="AB356" s="36"/>
      <c r="AC356" s="36"/>
      <c r="AD356" s="36"/>
      <c r="AE356" s="36"/>
      <c r="AF356" s="36"/>
      <c r="AG356" s="36"/>
      <c r="AH356" s="36"/>
      <c r="AI356" s="36"/>
    </row>
    <row r="357" spans="1:35" s="62" customFormat="1" ht="23" x14ac:dyDescent="0.25">
      <c r="A357" s="60"/>
      <c r="B357" s="60"/>
      <c r="C357" s="60"/>
      <c r="D357" s="60"/>
      <c r="E357" s="60"/>
      <c r="F357" s="60"/>
      <c r="G357" s="61"/>
      <c r="H357" s="60"/>
      <c r="I357" s="61"/>
      <c r="J357" s="60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6"/>
      <c r="AB357" s="36"/>
      <c r="AC357" s="36"/>
      <c r="AD357" s="36"/>
      <c r="AE357" s="36"/>
      <c r="AF357" s="36"/>
      <c r="AG357" s="36"/>
      <c r="AH357" s="36"/>
      <c r="AI357" s="36"/>
    </row>
    <row r="358" spans="1:35" s="62" customFormat="1" ht="23" x14ac:dyDescent="0.25">
      <c r="A358" s="60"/>
      <c r="B358" s="60"/>
      <c r="C358" s="60"/>
      <c r="D358" s="60"/>
      <c r="E358" s="60"/>
      <c r="F358" s="60"/>
      <c r="G358" s="61"/>
      <c r="H358" s="60"/>
      <c r="I358" s="61"/>
      <c r="J358" s="60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6"/>
      <c r="AB358" s="36"/>
      <c r="AC358" s="36"/>
      <c r="AD358" s="36"/>
      <c r="AE358" s="36"/>
      <c r="AF358" s="36"/>
      <c r="AG358" s="36"/>
      <c r="AH358" s="36"/>
      <c r="AI358" s="36"/>
    </row>
    <row r="359" spans="1:35" s="62" customFormat="1" ht="23" x14ac:dyDescent="0.25">
      <c r="A359" s="60"/>
      <c r="B359" s="60"/>
      <c r="C359" s="60"/>
      <c r="D359" s="60"/>
      <c r="E359" s="60"/>
      <c r="F359" s="60"/>
      <c r="G359" s="61"/>
      <c r="H359" s="60"/>
      <c r="I359" s="61"/>
      <c r="J359" s="60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6"/>
      <c r="AB359" s="36"/>
      <c r="AC359" s="36"/>
      <c r="AD359" s="36"/>
      <c r="AE359" s="36"/>
      <c r="AF359" s="36"/>
      <c r="AG359" s="36"/>
      <c r="AH359" s="36"/>
      <c r="AI359" s="36"/>
    </row>
    <row r="360" spans="1:35" s="62" customFormat="1" ht="23" x14ac:dyDescent="0.25">
      <c r="A360" s="60"/>
      <c r="B360" s="60"/>
      <c r="C360" s="60"/>
      <c r="D360" s="60"/>
      <c r="E360" s="60"/>
      <c r="F360" s="60"/>
      <c r="G360" s="61"/>
      <c r="H360" s="60"/>
      <c r="I360" s="61"/>
      <c r="J360" s="60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6"/>
      <c r="AB360" s="36"/>
      <c r="AC360" s="36"/>
      <c r="AD360" s="36"/>
      <c r="AE360" s="36"/>
      <c r="AF360" s="36"/>
      <c r="AG360" s="36"/>
      <c r="AH360" s="36"/>
      <c r="AI360" s="36"/>
    </row>
    <row r="361" spans="1:35" s="62" customFormat="1" ht="23" x14ac:dyDescent="0.25">
      <c r="A361" s="60"/>
      <c r="B361" s="60"/>
      <c r="C361" s="60"/>
      <c r="D361" s="60"/>
      <c r="E361" s="60"/>
      <c r="F361" s="60"/>
      <c r="G361" s="61"/>
      <c r="H361" s="60"/>
      <c r="I361" s="61"/>
      <c r="J361" s="60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6"/>
      <c r="AB361" s="36"/>
      <c r="AC361" s="36"/>
      <c r="AD361" s="36"/>
      <c r="AE361" s="36"/>
      <c r="AF361" s="36"/>
      <c r="AG361" s="36"/>
      <c r="AH361" s="36"/>
      <c r="AI361" s="36"/>
    </row>
    <row r="362" spans="1:35" s="62" customFormat="1" ht="23" x14ac:dyDescent="0.25">
      <c r="A362" s="60"/>
      <c r="B362" s="60"/>
      <c r="C362" s="60"/>
      <c r="D362" s="60"/>
      <c r="E362" s="60"/>
      <c r="F362" s="60"/>
      <c r="G362" s="61"/>
      <c r="H362" s="60"/>
      <c r="I362" s="61"/>
      <c r="J362" s="60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6"/>
      <c r="AB362" s="36"/>
      <c r="AC362" s="36"/>
      <c r="AD362" s="36"/>
      <c r="AE362" s="36"/>
      <c r="AF362" s="36"/>
      <c r="AG362" s="36"/>
      <c r="AH362" s="36"/>
      <c r="AI362" s="36"/>
    </row>
    <row r="363" spans="1:35" s="62" customFormat="1" ht="23" x14ac:dyDescent="0.25">
      <c r="A363" s="60"/>
      <c r="B363" s="60"/>
      <c r="C363" s="60"/>
      <c r="D363" s="60"/>
      <c r="E363" s="60"/>
      <c r="F363" s="60"/>
      <c r="G363" s="61"/>
      <c r="H363" s="60"/>
      <c r="I363" s="61"/>
      <c r="J363" s="60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6"/>
      <c r="AB363" s="36"/>
      <c r="AC363" s="36"/>
      <c r="AD363" s="36"/>
      <c r="AE363" s="36"/>
      <c r="AF363" s="36"/>
      <c r="AG363" s="36"/>
      <c r="AH363" s="36"/>
      <c r="AI363" s="36"/>
    </row>
    <row r="364" spans="1:35" s="62" customFormat="1" ht="23" x14ac:dyDescent="0.25">
      <c r="A364" s="60"/>
      <c r="B364" s="60"/>
      <c r="C364" s="60"/>
      <c r="D364" s="60"/>
      <c r="E364" s="60"/>
      <c r="F364" s="60"/>
      <c r="G364" s="61"/>
      <c r="H364" s="60"/>
      <c r="I364" s="61"/>
      <c r="J364" s="60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6"/>
      <c r="AB364" s="36"/>
      <c r="AC364" s="36"/>
      <c r="AD364" s="36"/>
      <c r="AE364" s="36"/>
      <c r="AF364" s="36"/>
      <c r="AG364" s="36"/>
      <c r="AH364" s="36"/>
      <c r="AI364" s="36"/>
    </row>
    <row r="365" spans="1:35" s="62" customFormat="1" ht="23" x14ac:dyDescent="0.25">
      <c r="A365" s="60"/>
      <c r="B365" s="60"/>
      <c r="C365" s="60"/>
      <c r="D365" s="60"/>
      <c r="E365" s="60"/>
      <c r="F365" s="60"/>
      <c r="G365" s="61"/>
      <c r="H365" s="60"/>
      <c r="I365" s="61"/>
      <c r="J365" s="60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6"/>
      <c r="AB365" s="36"/>
      <c r="AC365" s="36"/>
      <c r="AD365" s="36"/>
      <c r="AE365" s="36"/>
      <c r="AF365" s="36"/>
      <c r="AG365" s="36"/>
      <c r="AH365" s="36"/>
      <c r="AI365" s="36"/>
    </row>
    <row r="366" spans="1:35" s="62" customFormat="1" ht="23" x14ac:dyDescent="0.25">
      <c r="A366" s="60"/>
      <c r="B366" s="60"/>
      <c r="C366" s="60"/>
      <c r="D366" s="60"/>
      <c r="E366" s="60"/>
      <c r="F366" s="60"/>
      <c r="G366" s="61"/>
      <c r="H366" s="60"/>
      <c r="I366" s="61"/>
      <c r="J366" s="60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6"/>
      <c r="AB366" s="36"/>
      <c r="AC366" s="36"/>
      <c r="AD366" s="36"/>
      <c r="AE366" s="36"/>
      <c r="AF366" s="36"/>
      <c r="AG366" s="36"/>
      <c r="AH366" s="36"/>
      <c r="AI366" s="36"/>
    </row>
    <row r="367" spans="1:35" s="62" customFormat="1" ht="23" x14ac:dyDescent="0.25">
      <c r="A367" s="60"/>
      <c r="B367" s="60"/>
      <c r="C367" s="60"/>
      <c r="D367" s="60"/>
      <c r="E367" s="60"/>
      <c r="F367" s="60"/>
      <c r="G367" s="61"/>
      <c r="H367" s="60"/>
      <c r="I367" s="61"/>
      <c r="J367" s="60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6"/>
      <c r="AB367" s="36"/>
      <c r="AC367" s="36"/>
      <c r="AD367" s="36"/>
      <c r="AE367" s="36"/>
      <c r="AF367" s="36"/>
      <c r="AG367" s="36"/>
      <c r="AH367" s="36"/>
      <c r="AI367" s="36"/>
    </row>
    <row r="368" spans="1:35" s="62" customFormat="1" ht="23" x14ac:dyDescent="0.25">
      <c r="A368" s="60"/>
      <c r="B368" s="60"/>
      <c r="C368" s="60"/>
      <c r="D368" s="60"/>
      <c r="E368" s="60"/>
      <c r="F368" s="60"/>
      <c r="G368" s="61"/>
      <c r="H368" s="60"/>
      <c r="I368" s="61"/>
      <c r="J368" s="60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6"/>
      <c r="AB368" s="36"/>
      <c r="AC368" s="36"/>
      <c r="AD368" s="36"/>
      <c r="AE368" s="36"/>
      <c r="AF368" s="36"/>
      <c r="AG368" s="36"/>
      <c r="AH368" s="36"/>
      <c r="AI368" s="36"/>
    </row>
    <row r="369" spans="1:35" s="62" customFormat="1" ht="23" x14ac:dyDescent="0.25">
      <c r="A369" s="60"/>
      <c r="B369" s="60"/>
      <c r="C369" s="60"/>
      <c r="D369" s="60"/>
      <c r="E369" s="60"/>
      <c r="F369" s="60"/>
      <c r="G369" s="61"/>
      <c r="H369" s="60"/>
      <c r="I369" s="61"/>
      <c r="J369" s="60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6"/>
      <c r="AB369" s="36"/>
      <c r="AC369" s="36"/>
      <c r="AD369" s="36"/>
      <c r="AE369" s="36"/>
      <c r="AF369" s="36"/>
      <c r="AG369" s="36"/>
      <c r="AH369" s="36"/>
      <c r="AI369" s="36"/>
    </row>
    <row r="370" spans="1:35" s="62" customFormat="1" ht="23" x14ac:dyDescent="0.25">
      <c r="A370" s="60"/>
      <c r="B370" s="60"/>
      <c r="C370" s="60"/>
      <c r="D370" s="60"/>
      <c r="E370" s="60"/>
      <c r="F370" s="60"/>
      <c r="G370" s="61"/>
      <c r="H370" s="60"/>
      <c r="I370" s="61"/>
      <c r="J370" s="60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6"/>
      <c r="AB370" s="36"/>
      <c r="AC370" s="36"/>
      <c r="AD370" s="36"/>
      <c r="AE370" s="36"/>
      <c r="AF370" s="36"/>
      <c r="AG370" s="36"/>
      <c r="AH370" s="36"/>
      <c r="AI370" s="36"/>
    </row>
    <row r="371" spans="1:35" s="62" customFormat="1" ht="23" x14ac:dyDescent="0.25">
      <c r="A371" s="60"/>
      <c r="B371" s="60"/>
      <c r="C371" s="60"/>
      <c r="D371" s="60"/>
      <c r="E371" s="60"/>
      <c r="F371" s="60"/>
      <c r="G371" s="61"/>
      <c r="H371" s="60"/>
      <c r="I371" s="61"/>
      <c r="J371" s="60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6"/>
      <c r="AB371" s="36"/>
      <c r="AC371" s="36"/>
      <c r="AD371" s="36"/>
      <c r="AE371" s="36"/>
      <c r="AF371" s="36"/>
      <c r="AG371" s="36"/>
      <c r="AH371" s="36"/>
      <c r="AI371" s="36"/>
    </row>
    <row r="372" spans="1:35" s="62" customFormat="1" ht="23" x14ac:dyDescent="0.25">
      <c r="A372" s="60"/>
      <c r="B372" s="60"/>
      <c r="C372" s="60"/>
      <c r="D372" s="60"/>
      <c r="E372" s="60"/>
      <c r="F372" s="60"/>
      <c r="G372" s="61"/>
      <c r="H372" s="60"/>
      <c r="I372" s="61"/>
      <c r="J372" s="60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6"/>
      <c r="AB372" s="36"/>
      <c r="AC372" s="36"/>
      <c r="AD372" s="36"/>
      <c r="AE372" s="36"/>
      <c r="AF372" s="36"/>
      <c r="AG372" s="36"/>
      <c r="AH372" s="36"/>
      <c r="AI372" s="36"/>
    </row>
    <row r="373" spans="1:35" s="62" customFormat="1" ht="23" x14ac:dyDescent="0.25">
      <c r="A373" s="60"/>
      <c r="B373" s="60"/>
      <c r="C373" s="60"/>
      <c r="D373" s="60"/>
      <c r="E373" s="60"/>
      <c r="F373" s="60"/>
      <c r="G373" s="61"/>
      <c r="H373" s="60"/>
      <c r="I373" s="61"/>
      <c r="J373" s="60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6"/>
      <c r="AB373" s="36"/>
      <c r="AC373" s="36"/>
      <c r="AD373" s="36"/>
      <c r="AE373" s="36"/>
      <c r="AF373" s="36"/>
      <c r="AG373" s="36"/>
      <c r="AH373" s="36"/>
      <c r="AI373" s="36"/>
    </row>
    <row r="374" spans="1:35" s="62" customFormat="1" ht="23" x14ac:dyDescent="0.25">
      <c r="A374" s="60"/>
      <c r="B374" s="60"/>
      <c r="C374" s="60"/>
      <c r="D374" s="60"/>
      <c r="E374" s="60"/>
      <c r="F374" s="60"/>
      <c r="G374" s="61"/>
      <c r="H374" s="60"/>
      <c r="I374" s="61"/>
      <c r="J374" s="60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6"/>
      <c r="AB374" s="36"/>
      <c r="AC374" s="36"/>
      <c r="AD374" s="36"/>
      <c r="AE374" s="36"/>
      <c r="AF374" s="36"/>
      <c r="AG374" s="36"/>
      <c r="AH374" s="36"/>
      <c r="AI374" s="36"/>
    </row>
    <row r="375" spans="1:35" s="62" customFormat="1" ht="23" x14ac:dyDescent="0.25">
      <c r="A375" s="60"/>
      <c r="B375" s="60"/>
      <c r="C375" s="60"/>
      <c r="D375" s="60"/>
      <c r="E375" s="60"/>
      <c r="F375" s="60"/>
      <c r="G375" s="61"/>
      <c r="H375" s="60"/>
      <c r="I375" s="61"/>
      <c r="J375" s="60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6"/>
      <c r="AB375" s="36"/>
      <c r="AC375" s="36"/>
      <c r="AD375" s="36"/>
      <c r="AE375" s="36"/>
      <c r="AF375" s="36"/>
      <c r="AG375" s="36"/>
      <c r="AH375" s="36"/>
      <c r="AI375" s="36"/>
    </row>
    <row r="376" spans="1:35" s="62" customFormat="1" ht="23" x14ac:dyDescent="0.25">
      <c r="A376" s="60"/>
      <c r="B376" s="60"/>
      <c r="C376" s="60"/>
      <c r="D376" s="60"/>
      <c r="E376" s="60"/>
      <c r="F376" s="60"/>
      <c r="G376" s="61"/>
      <c r="H376" s="60"/>
      <c r="I376" s="61"/>
      <c r="J376" s="60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6"/>
      <c r="AB376" s="36"/>
      <c r="AC376" s="36"/>
      <c r="AD376" s="36"/>
      <c r="AE376" s="36"/>
      <c r="AF376" s="36"/>
      <c r="AG376" s="36"/>
      <c r="AH376" s="36"/>
      <c r="AI376" s="36"/>
    </row>
    <row r="377" spans="1:35" s="62" customFormat="1" ht="23" x14ac:dyDescent="0.25">
      <c r="A377" s="60"/>
      <c r="B377" s="60"/>
      <c r="C377" s="60"/>
      <c r="D377" s="60"/>
      <c r="E377" s="60"/>
      <c r="F377" s="60"/>
      <c r="G377" s="61"/>
      <c r="H377" s="60"/>
      <c r="I377" s="61"/>
      <c r="J377" s="60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6"/>
      <c r="AB377" s="36"/>
      <c r="AC377" s="36"/>
      <c r="AD377" s="36"/>
      <c r="AE377" s="36"/>
      <c r="AF377" s="36"/>
      <c r="AG377" s="36"/>
      <c r="AH377" s="36"/>
      <c r="AI377" s="36"/>
    </row>
    <row r="378" spans="1:35" s="62" customFormat="1" ht="23" x14ac:dyDescent="0.25">
      <c r="A378" s="60"/>
      <c r="B378" s="60"/>
      <c r="C378" s="60"/>
      <c r="D378" s="60"/>
      <c r="E378" s="60"/>
      <c r="F378" s="60"/>
      <c r="G378" s="61"/>
      <c r="H378" s="60"/>
      <c r="I378" s="61"/>
      <c r="J378" s="60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6"/>
      <c r="AB378" s="36"/>
      <c r="AC378" s="36"/>
      <c r="AD378" s="36"/>
      <c r="AE378" s="36"/>
      <c r="AF378" s="36"/>
      <c r="AG378" s="36"/>
      <c r="AH378" s="36"/>
      <c r="AI378" s="36"/>
    </row>
    <row r="379" spans="1:35" s="62" customFormat="1" ht="23" x14ac:dyDescent="0.25">
      <c r="A379" s="60"/>
      <c r="B379" s="60"/>
      <c r="C379" s="60"/>
      <c r="D379" s="60"/>
      <c r="E379" s="60"/>
      <c r="F379" s="60"/>
      <c r="G379" s="61"/>
      <c r="H379" s="60"/>
      <c r="I379" s="61"/>
      <c r="J379" s="60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6"/>
      <c r="AB379" s="36"/>
      <c r="AC379" s="36"/>
      <c r="AD379" s="36"/>
      <c r="AE379" s="36"/>
      <c r="AF379" s="36"/>
      <c r="AG379" s="36"/>
      <c r="AH379" s="36"/>
      <c r="AI379" s="36"/>
    </row>
    <row r="380" spans="1:35" s="62" customFormat="1" ht="23" x14ac:dyDescent="0.25">
      <c r="A380" s="60"/>
      <c r="B380" s="60"/>
      <c r="C380" s="60"/>
      <c r="D380" s="60"/>
      <c r="E380" s="60"/>
      <c r="F380" s="60"/>
      <c r="G380" s="61"/>
      <c r="H380" s="60"/>
      <c r="I380" s="61"/>
      <c r="J380" s="60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6"/>
      <c r="AB380" s="36"/>
      <c r="AC380" s="36"/>
      <c r="AD380" s="36"/>
      <c r="AE380" s="36"/>
      <c r="AF380" s="36"/>
      <c r="AG380" s="36"/>
      <c r="AH380" s="36"/>
      <c r="AI380" s="36"/>
    </row>
    <row r="381" spans="1:35" s="62" customFormat="1" ht="23" x14ac:dyDescent="0.25">
      <c r="A381" s="60"/>
      <c r="B381" s="60"/>
      <c r="C381" s="60"/>
      <c r="D381" s="60"/>
      <c r="E381" s="60"/>
      <c r="F381" s="60"/>
      <c r="G381" s="61"/>
      <c r="H381" s="60"/>
      <c r="I381" s="61"/>
      <c r="J381" s="60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6"/>
      <c r="AB381" s="36"/>
      <c r="AC381" s="36"/>
      <c r="AD381" s="36"/>
      <c r="AE381" s="36"/>
      <c r="AF381" s="36"/>
      <c r="AG381" s="36"/>
      <c r="AH381" s="36"/>
      <c r="AI381" s="36"/>
    </row>
    <row r="382" spans="1:35" s="62" customFormat="1" ht="23" x14ac:dyDescent="0.25">
      <c r="A382" s="60"/>
      <c r="B382" s="60"/>
      <c r="C382" s="60"/>
      <c r="D382" s="60"/>
      <c r="E382" s="60"/>
      <c r="F382" s="60"/>
      <c r="G382" s="61"/>
      <c r="H382" s="60"/>
      <c r="I382" s="61"/>
      <c r="J382" s="60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6"/>
      <c r="AB382" s="36"/>
      <c r="AC382" s="36"/>
      <c r="AD382" s="36"/>
      <c r="AE382" s="36"/>
      <c r="AF382" s="36"/>
      <c r="AG382" s="36"/>
      <c r="AH382" s="36"/>
      <c r="AI382" s="36"/>
    </row>
    <row r="383" spans="1:35" s="62" customFormat="1" ht="23" x14ac:dyDescent="0.25">
      <c r="A383" s="60"/>
      <c r="B383" s="60"/>
      <c r="C383" s="60"/>
      <c r="D383" s="60"/>
      <c r="E383" s="60"/>
      <c r="F383" s="60"/>
      <c r="G383" s="61"/>
      <c r="H383" s="60"/>
      <c r="I383" s="61"/>
      <c r="J383" s="60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6"/>
      <c r="AB383" s="36"/>
      <c r="AC383" s="36"/>
      <c r="AD383" s="36"/>
      <c r="AE383" s="36"/>
      <c r="AF383" s="36"/>
      <c r="AG383" s="36"/>
      <c r="AH383" s="36"/>
      <c r="AI383" s="36"/>
    </row>
    <row r="384" spans="1:35" s="62" customFormat="1" ht="23" x14ac:dyDescent="0.25">
      <c r="A384" s="60"/>
      <c r="B384" s="60"/>
      <c r="C384" s="60"/>
      <c r="D384" s="60"/>
      <c r="E384" s="60"/>
      <c r="F384" s="60"/>
      <c r="G384" s="61"/>
      <c r="H384" s="60"/>
      <c r="I384" s="61"/>
      <c r="J384" s="60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6"/>
      <c r="AB384" s="36"/>
      <c r="AC384" s="36"/>
      <c r="AD384" s="36"/>
      <c r="AE384" s="36"/>
      <c r="AF384" s="36"/>
      <c r="AG384" s="36"/>
      <c r="AH384" s="36"/>
      <c r="AI384" s="36"/>
    </row>
    <row r="385" spans="1:35" s="62" customFormat="1" ht="23" x14ac:dyDescent="0.25">
      <c r="A385" s="60"/>
      <c r="B385" s="60"/>
      <c r="C385" s="60"/>
      <c r="D385" s="60"/>
      <c r="E385" s="60"/>
      <c r="F385" s="60"/>
      <c r="G385" s="61"/>
      <c r="H385" s="60"/>
      <c r="I385" s="61"/>
      <c r="J385" s="60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6"/>
      <c r="AB385" s="36"/>
      <c r="AC385" s="36"/>
      <c r="AD385" s="36"/>
      <c r="AE385" s="36"/>
      <c r="AF385" s="36"/>
      <c r="AG385" s="36"/>
      <c r="AH385" s="36"/>
      <c r="AI385" s="36"/>
    </row>
    <row r="386" spans="1:35" s="62" customFormat="1" ht="23" x14ac:dyDescent="0.25">
      <c r="A386" s="60"/>
      <c r="B386" s="60"/>
      <c r="C386" s="60"/>
      <c r="D386" s="60"/>
      <c r="E386" s="60"/>
      <c r="F386" s="60"/>
      <c r="G386" s="61"/>
      <c r="H386" s="60"/>
      <c r="I386" s="61"/>
      <c r="J386" s="60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6"/>
      <c r="AB386" s="36"/>
      <c r="AC386" s="36"/>
      <c r="AD386" s="36"/>
      <c r="AE386" s="36"/>
      <c r="AF386" s="36"/>
      <c r="AG386" s="36"/>
      <c r="AH386" s="36"/>
      <c r="AI386" s="36"/>
    </row>
    <row r="387" spans="1:35" s="62" customFormat="1" ht="23" x14ac:dyDescent="0.25">
      <c r="A387" s="60"/>
      <c r="B387" s="60"/>
      <c r="C387" s="60"/>
      <c r="D387" s="60"/>
      <c r="E387" s="60"/>
      <c r="F387" s="60"/>
      <c r="G387" s="61"/>
      <c r="H387" s="60"/>
      <c r="I387" s="61"/>
      <c r="J387" s="60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6"/>
      <c r="AB387" s="36"/>
      <c r="AC387" s="36"/>
      <c r="AD387" s="36"/>
      <c r="AE387" s="36"/>
      <c r="AF387" s="36"/>
      <c r="AG387" s="36"/>
      <c r="AH387" s="36"/>
      <c r="AI387" s="36"/>
    </row>
    <row r="388" spans="1:35" s="62" customFormat="1" ht="23" x14ac:dyDescent="0.25">
      <c r="A388" s="60"/>
      <c r="B388" s="60"/>
      <c r="C388" s="60"/>
      <c r="D388" s="60"/>
      <c r="E388" s="60"/>
      <c r="F388" s="60"/>
      <c r="G388" s="61"/>
      <c r="H388" s="60"/>
      <c r="I388" s="61"/>
      <c r="J388" s="60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6"/>
      <c r="AB388" s="36"/>
      <c r="AC388" s="36"/>
      <c r="AD388" s="36"/>
      <c r="AE388" s="36"/>
      <c r="AF388" s="36"/>
      <c r="AG388" s="36"/>
      <c r="AH388" s="36"/>
      <c r="AI388" s="36"/>
    </row>
    <row r="389" spans="1:35" s="62" customFormat="1" ht="23" x14ac:dyDescent="0.25">
      <c r="A389" s="60"/>
      <c r="B389" s="60"/>
      <c r="C389" s="60"/>
      <c r="D389" s="60"/>
      <c r="E389" s="60"/>
      <c r="F389" s="60"/>
      <c r="G389" s="61"/>
      <c r="H389" s="60"/>
      <c r="I389" s="61"/>
      <c r="J389" s="60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6"/>
      <c r="AB389" s="36"/>
      <c r="AC389" s="36"/>
      <c r="AD389" s="36"/>
      <c r="AE389" s="36"/>
      <c r="AF389" s="36"/>
      <c r="AG389" s="36"/>
      <c r="AH389" s="36"/>
      <c r="AI389" s="36"/>
    </row>
    <row r="390" spans="1:35" s="62" customFormat="1" ht="23" x14ac:dyDescent="0.25">
      <c r="A390" s="60"/>
      <c r="B390" s="60"/>
      <c r="C390" s="60"/>
      <c r="D390" s="60"/>
      <c r="E390" s="60"/>
      <c r="F390" s="60"/>
      <c r="G390" s="61"/>
      <c r="H390" s="60"/>
      <c r="I390" s="61"/>
      <c r="J390" s="60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6"/>
      <c r="AB390" s="36"/>
      <c r="AC390" s="36"/>
      <c r="AD390" s="36"/>
      <c r="AE390" s="36"/>
      <c r="AF390" s="36"/>
      <c r="AG390" s="36"/>
      <c r="AH390" s="36"/>
      <c r="AI390" s="36"/>
    </row>
    <row r="391" spans="1:35" s="62" customFormat="1" ht="23" x14ac:dyDescent="0.25">
      <c r="A391" s="60"/>
      <c r="B391" s="60"/>
      <c r="C391" s="60"/>
      <c r="D391" s="60"/>
      <c r="E391" s="60"/>
      <c r="F391" s="60"/>
      <c r="G391" s="61"/>
      <c r="H391" s="60"/>
      <c r="I391" s="61"/>
      <c r="J391" s="60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6"/>
      <c r="AB391" s="36"/>
      <c r="AC391" s="36"/>
      <c r="AD391" s="36"/>
      <c r="AE391" s="36"/>
      <c r="AF391" s="36"/>
      <c r="AG391" s="36"/>
      <c r="AH391" s="36"/>
      <c r="AI391" s="36"/>
    </row>
    <row r="392" spans="1:35" s="62" customFormat="1" ht="23" x14ac:dyDescent="0.25">
      <c r="A392" s="60"/>
      <c r="B392" s="60"/>
      <c r="C392" s="60"/>
      <c r="D392" s="60"/>
      <c r="E392" s="60"/>
      <c r="F392" s="60"/>
      <c r="G392" s="61"/>
      <c r="H392" s="60"/>
      <c r="I392" s="61"/>
      <c r="J392" s="60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6"/>
      <c r="AB392" s="36"/>
      <c r="AC392" s="36"/>
      <c r="AD392" s="36"/>
      <c r="AE392" s="36"/>
      <c r="AF392" s="36"/>
      <c r="AG392" s="36"/>
      <c r="AH392" s="36"/>
      <c r="AI392" s="36"/>
    </row>
    <row r="393" spans="1:35" s="62" customFormat="1" ht="23" x14ac:dyDescent="0.25">
      <c r="A393" s="60"/>
      <c r="B393" s="60"/>
      <c r="C393" s="60"/>
      <c r="D393" s="60"/>
      <c r="E393" s="60"/>
      <c r="F393" s="60"/>
      <c r="G393" s="61"/>
      <c r="H393" s="60"/>
      <c r="I393" s="61"/>
      <c r="J393" s="60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6"/>
      <c r="AB393" s="36"/>
      <c r="AC393" s="36"/>
      <c r="AD393" s="36"/>
      <c r="AE393" s="36"/>
      <c r="AF393" s="36"/>
      <c r="AG393" s="36"/>
      <c r="AH393" s="36"/>
      <c r="AI393" s="36"/>
    </row>
    <row r="394" spans="1:35" s="62" customFormat="1" ht="23" x14ac:dyDescent="0.25">
      <c r="A394" s="60"/>
      <c r="B394" s="60"/>
      <c r="C394" s="60"/>
      <c r="D394" s="60"/>
      <c r="E394" s="60"/>
      <c r="F394" s="60"/>
      <c r="G394" s="61"/>
      <c r="H394" s="60"/>
      <c r="I394" s="61"/>
      <c r="J394" s="60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6"/>
      <c r="AB394" s="36"/>
      <c r="AC394" s="36"/>
      <c r="AD394" s="36"/>
      <c r="AE394" s="36"/>
      <c r="AF394" s="36"/>
      <c r="AG394" s="36"/>
      <c r="AH394" s="36"/>
      <c r="AI394" s="36"/>
    </row>
    <row r="395" spans="1:35" s="62" customFormat="1" ht="23" x14ac:dyDescent="0.25">
      <c r="A395" s="60"/>
      <c r="B395" s="60"/>
      <c r="C395" s="60"/>
      <c r="D395" s="60"/>
      <c r="E395" s="60"/>
      <c r="F395" s="60"/>
      <c r="G395" s="61"/>
      <c r="H395" s="60"/>
      <c r="I395" s="61"/>
      <c r="J395" s="60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6"/>
      <c r="AB395" s="36"/>
      <c r="AC395" s="36"/>
      <c r="AD395" s="36"/>
      <c r="AE395" s="36"/>
      <c r="AF395" s="36"/>
      <c r="AG395" s="36"/>
      <c r="AH395" s="36"/>
      <c r="AI395" s="36"/>
    </row>
    <row r="396" spans="1:35" s="62" customFormat="1" ht="23" x14ac:dyDescent="0.25">
      <c r="A396" s="60"/>
      <c r="B396" s="60"/>
      <c r="C396" s="60"/>
      <c r="D396" s="60"/>
      <c r="E396" s="60"/>
      <c r="F396" s="60"/>
      <c r="G396" s="61"/>
      <c r="H396" s="60"/>
      <c r="I396" s="61"/>
      <c r="J396" s="60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6"/>
      <c r="AB396" s="36"/>
      <c r="AC396" s="36"/>
      <c r="AD396" s="36"/>
      <c r="AE396" s="36"/>
      <c r="AF396" s="36"/>
      <c r="AG396" s="36"/>
      <c r="AH396" s="36"/>
      <c r="AI396" s="36"/>
    </row>
    <row r="397" spans="1:35" s="62" customFormat="1" ht="23" x14ac:dyDescent="0.25">
      <c r="A397" s="60"/>
      <c r="B397" s="60"/>
      <c r="C397" s="60"/>
      <c r="D397" s="60"/>
      <c r="E397" s="60"/>
      <c r="F397" s="60"/>
      <c r="G397" s="61"/>
      <c r="H397" s="60"/>
      <c r="I397" s="61"/>
      <c r="J397" s="60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6"/>
      <c r="AB397" s="36"/>
      <c r="AC397" s="36"/>
      <c r="AD397" s="36"/>
      <c r="AE397" s="36"/>
      <c r="AF397" s="36"/>
      <c r="AG397" s="36"/>
      <c r="AH397" s="36"/>
      <c r="AI397" s="36"/>
    </row>
    <row r="398" spans="1:35" s="62" customFormat="1" ht="23" x14ac:dyDescent="0.25">
      <c r="A398" s="60"/>
      <c r="B398" s="60"/>
      <c r="C398" s="60"/>
      <c r="D398" s="60"/>
      <c r="E398" s="60"/>
      <c r="F398" s="60"/>
      <c r="G398" s="61"/>
      <c r="H398" s="60"/>
      <c r="I398" s="61"/>
      <c r="J398" s="60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6"/>
      <c r="AB398" s="36"/>
      <c r="AC398" s="36"/>
      <c r="AD398" s="36"/>
      <c r="AE398" s="36"/>
      <c r="AF398" s="36"/>
      <c r="AG398" s="36"/>
      <c r="AH398" s="36"/>
      <c r="AI398" s="36"/>
    </row>
    <row r="399" spans="1:35" s="62" customFormat="1" ht="23" x14ac:dyDescent="0.25">
      <c r="A399" s="60"/>
      <c r="B399" s="60"/>
      <c r="C399" s="60"/>
      <c r="D399" s="60"/>
      <c r="E399" s="60"/>
      <c r="F399" s="60"/>
      <c r="G399" s="61"/>
      <c r="H399" s="60"/>
      <c r="I399" s="61"/>
      <c r="J399" s="60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6"/>
      <c r="AB399" s="36"/>
      <c r="AC399" s="36"/>
      <c r="AD399" s="36"/>
      <c r="AE399" s="36"/>
      <c r="AF399" s="36"/>
      <c r="AG399" s="36"/>
      <c r="AH399" s="36"/>
      <c r="AI399" s="36"/>
    </row>
    <row r="400" spans="1:35" s="62" customFormat="1" ht="23" x14ac:dyDescent="0.25">
      <c r="A400" s="60"/>
      <c r="B400" s="60"/>
      <c r="C400" s="60"/>
      <c r="D400" s="60"/>
      <c r="E400" s="60"/>
      <c r="F400" s="60"/>
      <c r="G400" s="61"/>
      <c r="H400" s="60"/>
      <c r="I400" s="61"/>
      <c r="J400" s="60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6"/>
      <c r="AB400" s="36"/>
      <c r="AC400" s="36"/>
      <c r="AD400" s="36"/>
      <c r="AE400" s="36"/>
      <c r="AF400" s="36"/>
      <c r="AG400" s="36"/>
      <c r="AH400" s="36"/>
      <c r="AI400" s="36"/>
    </row>
    <row r="401" spans="1:35" s="62" customFormat="1" ht="23" x14ac:dyDescent="0.25">
      <c r="A401" s="60"/>
      <c r="B401" s="60"/>
      <c r="C401" s="60"/>
      <c r="D401" s="60"/>
      <c r="E401" s="60"/>
      <c r="F401" s="60"/>
      <c r="G401" s="61"/>
      <c r="H401" s="60"/>
      <c r="I401" s="61"/>
      <c r="J401" s="60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6"/>
      <c r="AB401" s="36"/>
      <c r="AC401" s="36"/>
      <c r="AD401" s="36"/>
      <c r="AE401" s="36"/>
      <c r="AF401" s="36"/>
      <c r="AG401" s="36"/>
      <c r="AH401" s="36"/>
      <c r="AI401" s="36"/>
    </row>
    <row r="402" spans="1:35" s="62" customFormat="1" ht="23" x14ac:dyDescent="0.25">
      <c r="A402" s="60"/>
      <c r="B402" s="60"/>
      <c r="C402" s="60"/>
      <c r="D402" s="60"/>
      <c r="E402" s="60"/>
      <c r="F402" s="60"/>
      <c r="G402" s="61"/>
      <c r="H402" s="60"/>
      <c r="I402" s="61"/>
      <c r="J402" s="60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6"/>
      <c r="AB402" s="36"/>
      <c r="AC402" s="36"/>
      <c r="AD402" s="36"/>
      <c r="AE402" s="36"/>
      <c r="AF402" s="36"/>
      <c r="AG402" s="36"/>
      <c r="AH402" s="36"/>
      <c r="AI402" s="36"/>
    </row>
    <row r="403" spans="1:35" s="62" customFormat="1" ht="23" x14ac:dyDescent="0.25">
      <c r="A403" s="60"/>
      <c r="B403" s="60"/>
      <c r="C403" s="60"/>
      <c r="D403" s="60"/>
      <c r="E403" s="60"/>
      <c r="F403" s="60"/>
      <c r="G403" s="61"/>
      <c r="H403" s="60"/>
      <c r="I403" s="61"/>
      <c r="J403" s="60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6"/>
      <c r="AB403" s="36"/>
      <c r="AC403" s="36"/>
      <c r="AD403" s="36"/>
      <c r="AE403" s="36"/>
      <c r="AF403" s="36"/>
      <c r="AG403" s="36"/>
      <c r="AH403" s="36"/>
      <c r="AI403" s="36"/>
    </row>
    <row r="404" spans="1:35" s="62" customFormat="1" ht="23" x14ac:dyDescent="0.25">
      <c r="A404" s="60"/>
      <c r="B404" s="60"/>
      <c r="C404" s="60"/>
      <c r="D404" s="60"/>
      <c r="E404" s="60"/>
      <c r="F404" s="60"/>
      <c r="G404" s="61"/>
      <c r="H404" s="60"/>
      <c r="I404" s="61"/>
      <c r="J404" s="60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6"/>
      <c r="AB404" s="36"/>
      <c r="AC404" s="36"/>
      <c r="AD404" s="36"/>
      <c r="AE404" s="36"/>
      <c r="AF404" s="36"/>
      <c r="AG404" s="36"/>
      <c r="AH404" s="36"/>
      <c r="AI404" s="36"/>
    </row>
    <row r="405" spans="1:35" s="62" customFormat="1" ht="23" x14ac:dyDescent="0.25">
      <c r="A405" s="60"/>
      <c r="B405" s="60"/>
      <c r="C405" s="60"/>
      <c r="D405" s="60"/>
      <c r="E405" s="60"/>
      <c r="F405" s="60"/>
      <c r="G405" s="61"/>
      <c r="H405" s="60"/>
      <c r="I405" s="61"/>
      <c r="J405" s="60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6"/>
      <c r="AB405" s="36"/>
      <c r="AC405" s="36"/>
      <c r="AD405" s="36"/>
      <c r="AE405" s="36"/>
      <c r="AF405" s="36"/>
      <c r="AG405" s="36"/>
      <c r="AH405" s="36"/>
      <c r="AI405" s="36"/>
    </row>
    <row r="406" spans="1:35" s="62" customFormat="1" ht="23" x14ac:dyDescent="0.25">
      <c r="A406" s="60"/>
      <c r="B406" s="60"/>
      <c r="C406" s="60"/>
      <c r="D406" s="60"/>
      <c r="E406" s="60"/>
      <c r="F406" s="60"/>
      <c r="G406" s="61"/>
      <c r="H406" s="60"/>
      <c r="I406" s="61"/>
      <c r="J406" s="60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6"/>
      <c r="AB406" s="36"/>
      <c r="AC406" s="36"/>
      <c r="AD406" s="36"/>
      <c r="AE406" s="36"/>
      <c r="AF406" s="36"/>
      <c r="AG406" s="36"/>
      <c r="AH406" s="36"/>
      <c r="AI406" s="36"/>
    </row>
    <row r="407" spans="1:35" s="62" customFormat="1" ht="23" x14ac:dyDescent="0.25">
      <c r="A407" s="60"/>
      <c r="B407" s="60"/>
      <c r="C407" s="60"/>
      <c r="D407" s="60"/>
      <c r="E407" s="60"/>
      <c r="F407" s="60"/>
      <c r="G407" s="61"/>
      <c r="H407" s="60"/>
      <c r="I407" s="61"/>
      <c r="J407" s="60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6"/>
      <c r="AB407" s="36"/>
      <c r="AC407" s="36"/>
      <c r="AD407" s="36"/>
      <c r="AE407" s="36"/>
      <c r="AF407" s="36"/>
      <c r="AG407" s="36"/>
      <c r="AH407" s="36"/>
      <c r="AI407" s="36"/>
    </row>
    <row r="408" spans="1:35" s="62" customFormat="1" ht="23" x14ac:dyDescent="0.25">
      <c r="A408" s="60"/>
      <c r="B408" s="60"/>
      <c r="C408" s="60"/>
      <c r="D408" s="60"/>
      <c r="E408" s="60"/>
      <c r="F408" s="60"/>
      <c r="G408" s="61"/>
      <c r="H408" s="60"/>
      <c r="I408" s="61"/>
      <c r="J408" s="60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6"/>
      <c r="AB408" s="36"/>
      <c r="AC408" s="36"/>
      <c r="AD408" s="36"/>
      <c r="AE408" s="36"/>
      <c r="AF408" s="36"/>
      <c r="AG408" s="36"/>
      <c r="AH408" s="36"/>
      <c r="AI408" s="36"/>
    </row>
    <row r="409" spans="1:35" s="62" customFormat="1" ht="23" x14ac:dyDescent="0.25">
      <c r="A409" s="60"/>
      <c r="B409" s="60"/>
      <c r="C409" s="60"/>
      <c r="D409" s="60"/>
      <c r="E409" s="60"/>
      <c r="F409" s="60"/>
      <c r="G409" s="61"/>
      <c r="H409" s="60"/>
      <c r="I409" s="61"/>
      <c r="J409" s="60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6"/>
      <c r="AB409" s="36"/>
      <c r="AC409" s="36"/>
      <c r="AD409" s="36"/>
      <c r="AE409" s="36"/>
      <c r="AF409" s="36"/>
      <c r="AG409" s="36"/>
      <c r="AH409" s="36"/>
      <c r="AI409" s="36"/>
    </row>
    <row r="410" spans="1:35" s="62" customFormat="1" ht="23" x14ac:dyDescent="0.25">
      <c r="A410" s="60"/>
      <c r="B410" s="60"/>
      <c r="C410" s="60"/>
      <c r="D410" s="60"/>
      <c r="E410" s="60"/>
      <c r="F410" s="60"/>
      <c r="G410" s="61"/>
      <c r="H410" s="60"/>
      <c r="I410" s="61"/>
      <c r="J410" s="60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6"/>
      <c r="AB410" s="36"/>
      <c r="AC410" s="36"/>
      <c r="AD410" s="36"/>
      <c r="AE410" s="36"/>
      <c r="AF410" s="36"/>
      <c r="AG410" s="36"/>
      <c r="AH410" s="36"/>
      <c r="AI410" s="36"/>
    </row>
    <row r="411" spans="1:35" s="62" customFormat="1" ht="23" x14ac:dyDescent="0.25">
      <c r="A411" s="60"/>
      <c r="B411" s="60"/>
      <c r="C411" s="60"/>
      <c r="D411" s="60"/>
      <c r="E411" s="60"/>
      <c r="F411" s="60"/>
      <c r="G411" s="61"/>
      <c r="H411" s="60"/>
      <c r="I411" s="61"/>
      <c r="J411" s="60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6"/>
      <c r="AB411" s="36"/>
      <c r="AC411" s="36"/>
      <c r="AD411" s="36"/>
      <c r="AE411" s="36"/>
      <c r="AF411" s="36"/>
      <c r="AG411" s="36"/>
      <c r="AH411" s="36"/>
      <c r="AI411" s="36"/>
    </row>
    <row r="412" spans="1:35" s="62" customFormat="1" ht="23" x14ac:dyDescent="0.25">
      <c r="A412" s="60"/>
      <c r="B412" s="60"/>
      <c r="C412" s="60"/>
      <c r="D412" s="60"/>
      <c r="E412" s="60"/>
      <c r="F412" s="60"/>
      <c r="G412" s="61"/>
      <c r="H412" s="60"/>
      <c r="I412" s="61"/>
      <c r="J412" s="60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6"/>
      <c r="AB412" s="36"/>
      <c r="AC412" s="36"/>
      <c r="AD412" s="36"/>
      <c r="AE412" s="36"/>
      <c r="AF412" s="36"/>
      <c r="AG412" s="36"/>
      <c r="AH412" s="36"/>
      <c r="AI412" s="36"/>
    </row>
    <row r="413" spans="1:35" s="62" customFormat="1" ht="23" x14ac:dyDescent="0.25">
      <c r="A413" s="60"/>
      <c r="B413" s="60"/>
      <c r="C413" s="60"/>
      <c r="D413" s="60"/>
      <c r="E413" s="60"/>
      <c r="F413" s="60"/>
      <c r="G413" s="61"/>
      <c r="H413" s="60"/>
      <c r="I413" s="61"/>
      <c r="J413" s="60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6"/>
      <c r="AB413" s="36"/>
      <c r="AC413" s="36"/>
      <c r="AD413" s="36"/>
      <c r="AE413" s="36"/>
      <c r="AF413" s="36"/>
      <c r="AG413" s="36"/>
      <c r="AH413" s="36"/>
      <c r="AI413" s="36"/>
    </row>
    <row r="414" spans="1:35" s="62" customFormat="1" ht="23" x14ac:dyDescent="0.25">
      <c r="A414" s="60"/>
      <c r="B414" s="60"/>
      <c r="C414" s="60"/>
      <c r="D414" s="60"/>
      <c r="E414" s="60"/>
      <c r="F414" s="60"/>
      <c r="G414" s="61"/>
      <c r="H414" s="60"/>
      <c r="I414" s="61"/>
      <c r="J414" s="60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6"/>
      <c r="AB414" s="36"/>
      <c r="AC414" s="36"/>
      <c r="AD414" s="36"/>
      <c r="AE414" s="36"/>
      <c r="AF414" s="36"/>
      <c r="AG414" s="36"/>
      <c r="AH414" s="36"/>
      <c r="AI414" s="36"/>
    </row>
    <row r="415" spans="1:35" s="62" customFormat="1" ht="23" x14ac:dyDescent="0.25">
      <c r="A415" s="60"/>
      <c r="B415" s="60"/>
      <c r="C415" s="60"/>
      <c r="D415" s="60"/>
      <c r="E415" s="60"/>
      <c r="F415" s="60"/>
      <c r="G415" s="61"/>
      <c r="H415" s="60"/>
      <c r="I415" s="61"/>
      <c r="J415" s="60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6"/>
      <c r="AB415" s="36"/>
      <c r="AC415" s="36"/>
      <c r="AD415" s="36"/>
      <c r="AE415" s="36"/>
      <c r="AF415" s="36"/>
      <c r="AG415" s="36"/>
      <c r="AH415" s="36"/>
      <c r="AI415" s="36"/>
    </row>
    <row r="416" spans="1:35" s="62" customFormat="1" ht="23" x14ac:dyDescent="0.25">
      <c r="A416" s="60"/>
      <c r="B416" s="60"/>
      <c r="C416" s="60"/>
      <c r="D416" s="60"/>
      <c r="E416" s="60"/>
      <c r="F416" s="60"/>
      <c r="G416" s="61"/>
      <c r="H416" s="60"/>
      <c r="I416" s="61"/>
      <c r="J416" s="60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6"/>
      <c r="AB416" s="36"/>
      <c r="AC416" s="36"/>
      <c r="AD416" s="36"/>
      <c r="AE416" s="36"/>
      <c r="AF416" s="36"/>
      <c r="AG416" s="36"/>
      <c r="AH416" s="36"/>
      <c r="AI416" s="36"/>
    </row>
    <row r="417" spans="1:35" s="62" customFormat="1" ht="23" x14ac:dyDescent="0.25">
      <c r="A417" s="60"/>
      <c r="B417" s="60"/>
      <c r="C417" s="60"/>
      <c r="D417" s="60"/>
      <c r="E417" s="60"/>
      <c r="F417" s="60"/>
      <c r="G417" s="61"/>
      <c r="H417" s="60"/>
      <c r="I417" s="61"/>
      <c r="J417" s="60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6"/>
      <c r="AB417" s="36"/>
      <c r="AC417" s="36"/>
      <c r="AD417" s="36"/>
      <c r="AE417" s="36"/>
      <c r="AF417" s="36"/>
      <c r="AG417" s="36"/>
      <c r="AH417" s="36"/>
      <c r="AI417" s="36"/>
    </row>
    <row r="418" spans="1:35" s="62" customFormat="1" ht="23" x14ac:dyDescent="0.25">
      <c r="A418" s="60"/>
      <c r="B418" s="60"/>
      <c r="C418" s="60"/>
      <c r="D418" s="60"/>
      <c r="E418" s="60"/>
      <c r="F418" s="60"/>
      <c r="G418" s="61"/>
      <c r="H418" s="60"/>
      <c r="I418" s="61"/>
      <c r="J418" s="60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6"/>
      <c r="AB418" s="36"/>
      <c r="AC418" s="36"/>
      <c r="AD418" s="36"/>
      <c r="AE418" s="36"/>
      <c r="AF418" s="36"/>
      <c r="AG418" s="36"/>
      <c r="AH418" s="36"/>
      <c r="AI418" s="36"/>
    </row>
    <row r="419" spans="1:35" s="62" customFormat="1" ht="23" x14ac:dyDescent="0.25">
      <c r="A419" s="60"/>
      <c r="B419" s="60"/>
      <c r="C419" s="60"/>
      <c r="D419" s="60"/>
      <c r="E419" s="60"/>
      <c r="F419" s="60"/>
      <c r="G419" s="61"/>
      <c r="H419" s="60"/>
      <c r="I419" s="61"/>
      <c r="J419" s="60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6"/>
      <c r="AB419" s="36"/>
      <c r="AC419" s="36"/>
      <c r="AD419" s="36"/>
      <c r="AE419" s="36"/>
      <c r="AF419" s="36"/>
      <c r="AG419" s="36"/>
      <c r="AH419" s="36"/>
      <c r="AI419" s="36"/>
    </row>
    <row r="420" spans="1:35" s="62" customFormat="1" ht="23" x14ac:dyDescent="0.25">
      <c r="A420" s="60"/>
      <c r="B420" s="60"/>
      <c r="C420" s="60"/>
      <c r="D420" s="60"/>
      <c r="E420" s="60"/>
      <c r="F420" s="60"/>
      <c r="G420" s="61"/>
      <c r="H420" s="60"/>
      <c r="I420" s="61"/>
      <c r="J420" s="60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6"/>
      <c r="AB420" s="36"/>
      <c r="AC420" s="36"/>
      <c r="AD420" s="36"/>
      <c r="AE420" s="36"/>
      <c r="AF420" s="36"/>
      <c r="AG420" s="36"/>
      <c r="AH420" s="36"/>
      <c r="AI420" s="36"/>
    </row>
    <row r="421" spans="1:35" s="62" customFormat="1" ht="23" x14ac:dyDescent="0.25">
      <c r="A421" s="60"/>
      <c r="B421" s="60"/>
      <c r="C421" s="60"/>
      <c r="D421" s="60"/>
      <c r="E421" s="60"/>
      <c r="F421" s="60"/>
      <c r="G421" s="61"/>
      <c r="H421" s="60"/>
      <c r="I421" s="61"/>
      <c r="J421" s="60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6"/>
      <c r="AB421" s="36"/>
      <c r="AC421" s="36"/>
      <c r="AD421" s="36"/>
      <c r="AE421" s="36"/>
      <c r="AF421" s="36"/>
      <c r="AG421" s="36"/>
      <c r="AH421" s="36"/>
      <c r="AI421" s="36"/>
    </row>
    <row r="422" spans="1:35" s="62" customFormat="1" ht="23" x14ac:dyDescent="0.25">
      <c r="A422" s="60"/>
      <c r="B422" s="60"/>
      <c r="C422" s="60"/>
      <c r="D422" s="60"/>
      <c r="E422" s="60"/>
      <c r="F422" s="60"/>
      <c r="G422" s="61"/>
      <c r="H422" s="60"/>
      <c r="I422" s="61"/>
      <c r="J422" s="60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6"/>
      <c r="AB422" s="36"/>
      <c r="AC422" s="36"/>
      <c r="AD422" s="36"/>
      <c r="AE422" s="36"/>
      <c r="AF422" s="36"/>
      <c r="AG422" s="36"/>
      <c r="AH422" s="36"/>
      <c r="AI422" s="36"/>
    </row>
    <row r="423" spans="1:35" s="62" customFormat="1" ht="23" x14ac:dyDescent="0.25">
      <c r="A423" s="60"/>
      <c r="B423" s="60"/>
      <c r="C423" s="60"/>
      <c r="D423" s="60"/>
      <c r="E423" s="60"/>
      <c r="F423" s="60"/>
      <c r="G423" s="61"/>
      <c r="H423" s="60"/>
      <c r="I423" s="61"/>
      <c r="J423" s="60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6"/>
      <c r="AB423" s="36"/>
      <c r="AC423" s="36"/>
      <c r="AD423" s="36"/>
      <c r="AE423" s="36"/>
      <c r="AF423" s="36"/>
      <c r="AG423" s="36"/>
      <c r="AH423" s="36"/>
      <c r="AI423" s="36"/>
    </row>
    <row r="424" spans="1:35" s="62" customFormat="1" ht="23" x14ac:dyDescent="0.25">
      <c r="A424" s="60"/>
      <c r="B424" s="60"/>
      <c r="C424" s="60"/>
      <c r="D424" s="60"/>
      <c r="E424" s="60"/>
      <c r="F424" s="60"/>
      <c r="G424" s="61"/>
      <c r="H424" s="60"/>
      <c r="I424" s="61"/>
      <c r="J424" s="60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6"/>
      <c r="AB424" s="36"/>
      <c r="AC424" s="36"/>
      <c r="AD424" s="36"/>
      <c r="AE424" s="36"/>
      <c r="AF424" s="36"/>
      <c r="AG424" s="36"/>
      <c r="AH424" s="36"/>
      <c r="AI424" s="36"/>
    </row>
    <row r="425" spans="1:35" s="62" customFormat="1" ht="23" x14ac:dyDescent="0.25">
      <c r="A425" s="60"/>
      <c r="B425" s="60"/>
      <c r="C425" s="60"/>
      <c r="D425" s="60"/>
      <c r="E425" s="60"/>
      <c r="F425" s="60"/>
      <c r="G425" s="61"/>
      <c r="H425" s="60"/>
      <c r="I425" s="61"/>
      <c r="J425" s="60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6"/>
      <c r="AB425" s="36"/>
      <c r="AC425" s="36"/>
      <c r="AD425" s="36"/>
      <c r="AE425" s="36"/>
      <c r="AF425" s="36"/>
      <c r="AG425" s="36"/>
      <c r="AH425" s="36"/>
      <c r="AI425" s="36"/>
    </row>
    <row r="426" spans="1:35" s="62" customFormat="1" ht="23" x14ac:dyDescent="0.25">
      <c r="A426" s="60"/>
      <c r="B426" s="60"/>
      <c r="C426" s="60"/>
      <c r="D426" s="60"/>
      <c r="E426" s="60"/>
      <c r="F426" s="60"/>
      <c r="G426" s="61"/>
      <c r="H426" s="60"/>
      <c r="I426" s="61"/>
      <c r="J426" s="60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6"/>
      <c r="AB426" s="36"/>
      <c r="AC426" s="36"/>
      <c r="AD426" s="36"/>
      <c r="AE426" s="36"/>
      <c r="AF426" s="36"/>
      <c r="AG426" s="36"/>
      <c r="AH426" s="36"/>
      <c r="AI426" s="36"/>
    </row>
    <row r="427" spans="1:35" s="62" customFormat="1" ht="23" x14ac:dyDescent="0.25">
      <c r="A427" s="60"/>
      <c r="B427" s="60"/>
      <c r="C427" s="60"/>
      <c r="D427" s="60"/>
      <c r="E427" s="60"/>
      <c r="F427" s="60"/>
      <c r="G427" s="61"/>
      <c r="H427" s="60"/>
      <c r="I427" s="61"/>
      <c r="J427" s="60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6"/>
      <c r="AB427" s="36"/>
      <c r="AC427" s="36"/>
      <c r="AD427" s="36"/>
      <c r="AE427" s="36"/>
      <c r="AF427" s="36"/>
      <c r="AG427" s="36"/>
      <c r="AH427" s="36"/>
      <c r="AI427" s="36"/>
    </row>
    <row r="428" spans="1:35" s="62" customFormat="1" ht="23" x14ac:dyDescent="0.25">
      <c r="A428" s="60"/>
      <c r="B428" s="60"/>
      <c r="C428" s="60"/>
      <c r="D428" s="60"/>
      <c r="E428" s="60"/>
      <c r="F428" s="60"/>
      <c r="G428" s="61"/>
      <c r="H428" s="60"/>
      <c r="I428" s="61"/>
      <c r="J428" s="60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6"/>
      <c r="AB428" s="36"/>
      <c r="AC428" s="36"/>
      <c r="AD428" s="36"/>
      <c r="AE428" s="36"/>
      <c r="AF428" s="36"/>
      <c r="AG428" s="36"/>
      <c r="AH428" s="36"/>
      <c r="AI428" s="36"/>
    </row>
    <row r="429" spans="1:35" s="62" customFormat="1" ht="23" x14ac:dyDescent="0.25">
      <c r="A429" s="60"/>
      <c r="B429" s="60"/>
      <c r="C429" s="60"/>
      <c r="D429" s="60"/>
      <c r="E429" s="60"/>
      <c r="F429" s="60"/>
      <c r="G429" s="61"/>
      <c r="H429" s="60"/>
      <c r="I429" s="61"/>
      <c r="J429" s="60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6"/>
      <c r="AB429" s="36"/>
      <c r="AC429" s="36"/>
      <c r="AD429" s="36"/>
      <c r="AE429" s="36"/>
      <c r="AF429" s="36"/>
      <c r="AG429" s="36"/>
      <c r="AH429" s="36"/>
      <c r="AI429" s="36"/>
    </row>
    <row r="430" spans="1:35" s="62" customFormat="1" ht="23" x14ac:dyDescent="0.25">
      <c r="A430" s="60"/>
      <c r="B430" s="60"/>
      <c r="C430" s="60"/>
      <c r="D430" s="60"/>
      <c r="E430" s="60"/>
      <c r="F430" s="60"/>
      <c r="G430" s="61"/>
      <c r="H430" s="60"/>
      <c r="I430" s="61"/>
      <c r="J430" s="60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6"/>
      <c r="AB430" s="36"/>
      <c r="AC430" s="36"/>
      <c r="AD430" s="36"/>
      <c r="AE430" s="36"/>
      <c r="AF430" s="36"/>
      <c r="AG430" s="36"/>
      <c r="AH430" s="36"/>
      <c r="AI430" s="36"/>
    </row>
    <row r="431" spans="1:35" s="62" customFormat="1" ht="23" x14ac:dyDescent="0.25">
      <c r="A431" s="60"/>
      <c r="B431" s="60"/>
      <c r="C431" s="60"/>
      <c r="D431" s="60"/>
      <c r="E431" s="60"/>
      <c r="F431" s="60"/>
      <c r="G431" s="61"/>
      <c r="H431" s="60"/>
      <c r="I431" s="61"/>
      <c r="J431" s="60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6"/>
      <c r="AB431" s="36"/>
      <c r="AC431" s="36"/>
      <c r="AD431" s="36"/>
      <c r="AE431" s="36"/>
      <c r="AF431" s="36"/>
      <c r="AG431" s="36"/>
      <c r="AH431" s="36"/>
      <c r="AI431" s="36"/>
    </row>
    <row r="432" spans="1:35" s="62" customFormat="1" ht="23" x14ac:dyDescent="0.25">
      <c r="A432" s="60"/>
      <c r="B432" s="60"/>
      <c r="C432" s="60"/>
      <c r="D432" s="60"/>
      <c r="E432" s="60"/>
      <c r="F432" s="60"/>
      <c r="G432" s="61"/>
      <c r="H432" s="60"/>
      <c r="I432" s="61"/>
      <c r="J432" s="60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6"/>
      <c r="AB432" s="36"/>
      <c r="AC432" s="36"/>
      <c r="AD432" s="36"/>
      <c r="AE432" s="36"/>
      <c r="AF432" s="36"/>
      <c r="AG432" s="36"/>
      <c r="AH432" s="36"/>
      <c r="AI432" s="36"/>
    </row>
    <row r="433" spans="1:35" s="62" customFormat="1" ht="23" x14ac:dyDescent="0.25">
      <c r="A433" s="60"/>
      <c r="B433" s="60"/>
      <c r="C433" s="60"/>
      <c r="D433" s="60"/>
      <c r="E433" s="60"/>
      <c r="F433" s="60"/>
      <c r="G433" s="61"/>
      <c r="H433" s="60"/>
      <c r="I433" s="61"/>
      <c r="J433" s="60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6"/>
      <c r="AB433" s="36"/>
      <c r="AC433" s="36"/>
      <c r="AD433" s="36"/>
      <c r="AE433" s="36"/>
      <c r="AF433" s="36"/>
      <c r="AG433" s="36"/>
      <c r="AH433" s="36"/>
      <c r="AI433" s="36"/>
    </row>
    <row r="434" spans="1:35" s="62" customFormat="1" ht="23" x14ac:dyDescent="0.25">
      <c r="A434" s="60"/>
      <c r="B434" s="60"/>
      <c r="C434" s="60"/>
      <c r="D434" s="60"/>
      <c r="E434" s="60"/>
      <c r="F434" s="60"/>
      <c r="G434" s="61"/>
      <c r="H434" s="60"/>
      <c r="I434" s="61"/>
      <c r="J434" s="60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6"/>
      <c r="AB434" s="36"/>
      <c r="AC434" s="36"/>
      <c r="AD434" s="36"/>
      <c r="AE434" s="36"/>
      <c r="AF434" s="36"/>
      <c r="AG434" s="36"/>
      <c r="AH434" s="36"/>
      <c r="AI434" s="36"/>
    </row>
    <row r="435" spans="1:35" s="62" customFormat="1" ht="23" x14ac:dyDescent="0.25">
      <c r="A435" s="60"/>
      <c r="B435" s="60"/>
      <c r="C435" s="60"/>
      <c r="D435" s="60"/>
      <c r="E435" s="60"/>
      <c r="F435" s="60"/>
      <c r="G435" s="61"/>
      <c r="H435" s="60"/>
      <c r="I435" s="61"/>
      <c r="J435" s="60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6"/>
      <c r="AB435" s="36"/>
      <c r="AC435" s="36"/>
      <c r="AD435" s="36"/>
      <c r="AE435" s="36"/>
      <c r="AF435" s="36"/>
      <c r="AG435" s="36"/>
      <c r="AH435" s="36"/>
      <c r="AI435" s="36"/>
    </row>
    <row r="436" spans="1:35" s="62" customFormat="1" ht="23" x14ac:dyDescent="0.25">
      <c r="A436" s="60"/>
      <c r="B436" s="60"/>
      <c r="C436" s="60"/>
      <c r="D436" s="60"/>
      <c r="E436" s="60"/>
      <c r="F436" s="60"/>
      <c r="G436" s="61"/>
      <c r="H436" s="60"/>
      <c r="I436" s="61"/>
      <c r="J436" s="60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6"/>
      <c r="AB436" s="36"/>
      <c r="AC436" s="36"/>
      <c r="AD436" s="36"/>
      <c r="AE436" s="36"/>
      <c r="AF436" s="36"/>
      <c r="AG436" s="36"/>
      <c r="AH436" s="36"/>
      <c r="AI436" s="36"/>
    </row>
    <row r="437" spans="1:35" s="62" customFormat="1" ht="23" x14ac:dyDescent="0.25">
      <c r="A437" s="60"/>
      <c r="B437" s="60"/>
      <c r="C437" s="60"/>
      <c r="D437" s="60"/>
      <c r="E437" s="60"/>
      <c r="F437" s="60"/>
      <c r="G437" s="61"/>
      <c r="H437" s="60"/>
      <c r="I437" s="61"/>
      <c r="J437" s="60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6"/>
      <c r="AB437" s="36"/>
      <c r="AC437" s="36"/>
      <c r="AD437" s="36"/>
      <c r="AE437" s="36"/>
      <c r="AF437" s="36"/>
      <c r="AG437" s="36"/>
      <c r="AH437" s="36"/>
      <c r="AI437" s="36"/>
    </row>
    <row r="438" spans="1:35" s="62" customFormat="1" ht="23" x14ac:dyDescent="0.25">
      <c r="A438" s="60"/>
      <c r="B438" s="60"/>
      <c r="C438" s="60"/>
      <c r="D438" s="60"/>
      <c r="E438" s="60"/>
      <c r="F438" s="60"/>
      <c r="G438" s="61"/>
      <c r="H438" s="60"/>
      <c r="I438" s="61"/>
      <c r="J438" s="60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6"/>
      <c r="AB438" s="36"/>
      <c r="AC438" s="36"/>
      <c r="AD438" s="36"/>
      <c r="AE438" s="36"/>
      <c r="AF438" s="36"/>
      <c r="AG438" s="36"/>
      <c r="AH438" s="36"/>
      <c r="AI438" s="36"/>
    </row>
    <row r="439" spans="1:35" s="62" customFormat="1" ht="23" x14ac:dyDescent="0.25">
      <c r="A439" s="60"/>
      <c r="B439" s="60"/>
      <c r="C439" s="60"/>
      <c r="D439" s="60"/>
      <c r="E439" s="60"/>
      <c r="F439" s="60"/>
      <c r="G439" s="61"/>
      <c r="H439" s="60"/>
      <c r="I439" s="61"/>
      <c r="J439" s="60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6"/>
      <c r="AB439" s="36"/>
      <c r="AC439" s="36"/>
      <c r="AD439" s="36"/>
      <c r="AE439" s="36"/>
      <c r="AF439" s="36"/>
      <c r="AG439" s="36"/>
      <c r="AH439" s="36"/>
      <c r="AI439" s="36"/>
    </row>
    <row r="440" spans="1:35" s="62" customFormat="1" ht="23" x14ac:dyDescent="0.25">
      <c r="A440" s="60"/>
      <c r="B440" s="60"/>
      <c r="C440" s="60"/>
      <c r="D440" s="60"/>
      <c r="E440" s="60"/>
      <c r="F440" s="60"/>
      <c r="G440" s="61"/>
      <c r="H440" s="60"/>
      <c r="I440" s="61"/>
      <c r="J440" s="60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6"/>
      <c r="AB440" s="36"/>
      <c r="AC440" s="36"/>
      <c r="AD440" s="36"/>
      <c r="AE440" s="36"/>
      <c r="AF440" s="36"/>
      <c r="AG440" s="36"/>
      <c r="AH440" s="36"/>
      <c r="AI440" s="36"/>
    </row>
    <row r="441" spans="1:35" s="62" customFormat="1" ht="23" x14ac:dyDescent="0.25">
      <c r="A441" s="60"/>
      <c r="B441" s="60"/>
      <c r="C441" s="60"/>
      <c r="D441" s="60"/>
      <c r="E441" s="60"/>
      <c r="F441" s="60"/>
      <c r="G441" s="61"/>
      <c r="H441" s="60"/>
      <c r="I441" s="61"/>
      <c r="J441" s="60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6"/>
      <c r="AB441" s="36"/>
      <c r="AC441" s="36"/>
      <c r="AD441" s="36"/>
      <c r="AE441" s="36"/>
      <c r="AF441" s="36"/>
      <c r="AG441" s="36"/>
      <c r="AH441" s="36"/>
      <c r="AI441" s="36"/>
    </row>
    <row r="442" spans="1:35" s="62" customFormat="1" ht="23" x14ac:dyDescent="0.25">
      <c r="A442" s="60"/>
      <c r="B442" s="60"/>
      <c r="C442" s="60"/>
      <c r="D442" s="60"/>
      <c r="E442" s="60"/>
      <c r="F442" s="60"/>
      <c r="G442" s="61"/>
      <c r="H442" s="60"/>
      <c r="I442" s="61"/>
      <c r="J442" s="60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6"/>
      <c r="AB442" s="36"/>
      <c r="AC442" s="36"/>
      <c r="AD442" s="36"/>
      <c r="AE442" s="36"/>
      <c r="AF442" s="36"/>
      <c r="AG442" s="36"/>
      <c r="AH442" s="36"/>
      <c r="AI442" s="36"/>
    </row>
    <row r="443" spans="1:35" s="62" customFormat="1" ht="23" x14ac:dyDescent="0.25">
      <c r="A443" s="60"/>
      <c r="B443" s="60"/>
      <c r="C443" s="60"/>
      <c r="D443" s="60"/>
      <c r="E443" s="60"/>
      <c r="F443" s="60"/>
      <c r="G443" s="61"/>
      <c r="H443" s="60"/>
      <c r="I443" s="61"/>
      <c r="J443" s="60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6"/>
      <c r="AB443" s="36"/>
      <c r="AC443" s="36"/>
      <c r="AD443" s="36"/>
      <c r="AE443" s="36"/>
      <c r="AF443" s="36"/>
      <c r="AG443" s="36"/>
      <c r="AH443" s="36"/>
      <c r="AI443" s="36"/>
    </row>
    <row r="444" spans="1:35" s="62" customFormat="1" ht="23" x14ac:dyDescent="0.25">
      <c r="A444" s="60"/>
      <c r="B444" s="60"/>
      <c r="C444" s="60"/>
      <c r="D444" s="60"/>
      <c r="E444" s="60"/>
      <c r="F444" s="60"/>
      <c r="G444" s="61"/>
      <c r="H444" s="60"/>
      <c r="I444" s="61"/>
      <c r="J444" s="60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6"/>
      <c r="AB444" s="36"/>
      <c r="AC444" s="36"/>
      <c r="AD444" s="36"/>
      <c r="AE444" s="36"/>
      <c r="AF444" s="36"/>
      <c r="AG444" s="36"/>
      <c r="AH444" s="36"/>
      <c r="AI444" s="36"/>
    </row>
    <row r="445" spans="1:35" s="62" customFormat="1" ht="23" x14ac:dyDescent="0.25">
      <c r="A445" s="60"/>
      <c r="B445" s="60"/>
      <c r="C445" s="60"/>
      <c r="D445" s="60"/>
      <c r="E445" s="60"/>
      <c r="F445" s="60"/>
      <c r="G445" s="61"/>
      <c r="H445" s="60"/>
      <c r="I445" s="61"/>
      <c r="J445" s="60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6"/>
      <c r="AB445" s="36"/>
      <c r="AC445" s="36"/>
      <c r="AD445" s="36"/>
      <c r="AE445" s="36"/>
      <c r="AF445" s="36"/>
      <c r="AG445" s="36"/>
      <c r="AH445" s="36"/>
      <c r="AI445" s="36"/>
    </row>
    <row r="446" spans="1:35" s="62" customFormat="1" ht="23" x14ac:dyDescent="0.25">
      <c r="A446" s="60"/>
      <c r="B446" s="60"/>
      <c r="C446" s="60"/>
      <c r="D446" s="60"/>
      <c r="E446" s="60"/>
      <c r="F446" s="60"/>
      <c r="G446" s="61"/>
      <c r="H446" s="60"/>
      <c r="I446" s="61"/>
      <c r="J446" s="60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6"/>
      <c r="AB446" s="36"/>
      <c r="AC446" s="36"/>
      <c r="AD446" s="36"/>
      <c r="AE446" s="36"/>
      <c r="AF446" s="36"/>
      <c r="AG446" s="36"/>
      <c r="AH446" s="36"/>
      <c r="AI446" s="36"/>
    </row>
    <row r="447" spans="1:35" s="62" customFormat="1" ht="23" x14ac:dyDescent="0.25">
      <c r="A447" s="60"/>
      <c r="B447" s="60"/>
      <c r="C447" s="60"/>
      <c r="D447" s="60"/>
      <c r="E447" s="60"/>
      <c r="F447" s="60"/>
      <c r="G447" s="61"/>
      <c r="H447" s="60"/>
      <c r="I447" s="61"/>
      <c r="J447" s="60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6"/>
      <c r="AB447" s="36"/>
      <c r="AC447" s="36"/>
      <c r="AD447" s="36"/>
      <c r="AE447" s="36"/>
      <c r="AF447" s="36"/>
      <c r="AG447" s="36"/>
      <c r="AH447" s="36"/>
      <c r="AI447" s="36"/>
    </row>
    <row r="448" spans="1:35" s="62" customFormat="1" ht="23" x14ac:dyDescent="0.25">
      <c r="A448" s="60"/>
      <c r="B448" s="60"/>
      <c r="C448" s="60"/>
      <c r="D448" s="60"/>
      <c r="E448" s="60"/>
      <c r="F448" s="60"/>
      <c r="G448" s="61"/>
      <c r="H448" s="60"/>
      <c r="I448" s="61"/>
      <c r="J448" s="60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6"/>
      <c r="AB448" s="36"/>
      <c r="AC448" s="36"/>
      <c r="AD448" s="36"/>
      <c r="AE448" s="36"/>
      <c r="AF448" s="36"/>
      <c r="AG448" s="36"/>
      <c r="AH448" s="36"/>
      <c r="AI448" s="36"/>
    </row>
    <row r="449" spans="1:35" s="62" customFormat="1" ht="23" x14ac:dyDescent="0.25">
      <c r="A449" s="60"/>
      <c r="B449" s="60"/>
      <c r="C449" s="60"/>
      <c r="D449" s="60"/>
      <c r="E449" s="60"/>
      <c r="F449" s="60"/>
      <c r="G449" s="61"/>
      <c r="H449" s="60"/>
      <c r="I449" s="61"/>
      <c r="J449" s="60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6"/>
      <c r="AB449" s="36"/>
      <c r="AC449" s="36"/>
      <c r="AD449" s="36"/>
      <c r="AE449" s="36"/>
      <c r="AF449" s="36"/>
      <c r="AG449" s="36"/>
      <c r="AH449" s="36"/>
      <c r="AI449" s="36"/>
    </row>
    <row r="450" spans="1:35" s="62" customFormat="1" ht="13.5" customHeight="1" x14ac:dyDescent="0.25">
      <c r="A450" s="60"/>
      <c r="B450" s="60"/>
      <c r="C450" s="60"/>
      <c r="D450" s="60"/>
      <c r="E450" s="60"/>
      <c r="F450" s="60"/>
      <c r="G450" s="61"/>
      <c r="H450" s="60"/>
      <c r="I450" s="61"/>
      <c r="J450" s="60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6"/>
      <c r="AB450" s="36"/>
      <c r="AC450" s="36"/>
      <c r="AD450" s="36"/>
      <c r="AE450" s="36"/>
      <c r="AF450" s="36"/>
      <c r="AG450" s="36"/>
      <c r="AH450" s="36"/>
      <c r="AI450" s="36"/>
    </row>
    <row r="451" spans="1:35" s="62" customFormat="1" ht="13.5" customHeight="1" x14ac:dyDescent="0.25">
      <c r="A451" s="60"/>
      <c r="B451" s="60"/>
      <c r="C451" s="60"/>
      <c r="D451" s="60"/>
      <c r="E451" s="60"/>
      <c r="F451" s="60"/>
      <c r="G451" s="61"/>
      <c r="H451" s="60"/>
      <c r="I451" s="61"/>
      <c r="J451" s="60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6"/>
      <c r="AB451" s="36"/>
      <c r="AC451" s="36"/>
      <c r="AD451" s="36"/>
      <c r="AE451" s="36"/>
      <c r="AF451" s="36"/>
      <c r="AG451" s="36"/>
      <c r="AH451" s="36"/>
      <c r="AI451" s="36"/>
    </row>
    <row r="452" spans="1:35" s="62" customFormat="1" ht="13.5" customHeight="1" x14ac:dyDescent="0.25">
      <c r="A452" s="60"/>
      <c r="B452" s="60"/>
      <c r="C452" s="60"/>
      <c r="D452" s="60"/>
      <c r="E452" s="60"/>
      <c r="F452" s="60"/>
      <c r="G452" s="61"/>
      <c r="H452" s="60"/>
      <c r="I452" s="61"/>
      <c r="J452" s="60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6"/>
      <c r="AB452" s="36"/>
      <c r="AC452" s="36"/>
      <c r="AD452" s="36"/>
      <c r="AE452" s="36"/>
      <c r="AF452" s="36"/>
      <c r="AG452" s="36"/>
      <c r="AH452" s="36"/>
      <c r="AI452" s="36"/>
    </row>
    <row r="453" spans="1:35" s="62" customFormat="1" ht="13.5" customHeight="1" x14ac:dyDescent="0.25">
      <c r="A453" s="60"/>
      <c r="B453" s="60"/>
      <c r="C453" s="60"/>
      <c r="D453" s="60"/>
      <c r="E453" s="60"/>
      <c r="F453" s="60"/>
      <c r="G453" s="61"/>
      <c r="H453" s="60"/>
      <c r="I453" s="61"/>
      <c r="J453" s="60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6"/>
      <c r="AB453" s="36"/>
      <c r="AC453" s="36"/>
      <c r="AD453" s="36"/>
      <c r="AE453" s="36"/>
      <c r="AF453" s="36"/>
      <c r="AG453" s="36"/>
      <c r="AH453" s="36"/>
      <c r="AI453" s="36"/>
    </row>
    <row r="454" spans="1:35" s="62" customFormat="1" ht="13.5" customHeight="1" x14ac:dyDescent="0.25">
      <c r="A454" s="60"/>
      <c r="B454" s="60"/>
      <c r="C454" s="60"/>
      <c r="D454" s="60"/>
      <c r="E454" s="60"/>
      <c r="F454" s="60"/>
      <c r="G454" s="61"/>
      <c r="H454" s="60"/>
      <c r="I454" s="61"/>
      <c r="J454" s="60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6"/>
      <c r="AB454" s="36"/>
      <c r="AC454" s="36"/>
      <c r="AD454" s="36"/>
      <c r="AE454" s="36"/>
      <c r="AF454" s="36"/>
      <c r="AG454" s="36"/>
      <c r="AH454" s="36"/>
      <c r="AI454" s="36"/>
    </row>
    <row r="455" spans="1:35" s="62" customFormat="1" ht="13.5" customHeight="1" x14ac:dyDescent="0.25">
      <c r="A455" s="60"/>
      <c r="B455" s="60"/>
      <c r="C455" s="60"/>
      <c r="D455" s="60"/>
      <c r="E455" s="60"/>
      <c r="F455" s="60"/>
      <c r="G455" s="61"/>
      <c r="H455" s="60"/>
      <c r="I455" s="61"/>
      <c r="J455" s="60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6"/>
      <c r="AB455" s="36"/>
      <c r="AC455" s="36"/>
      <c r="AD455" s="36"/>
      <c r="AE455" s="36"/>
      <c r="AF455" s="36"/>
      <c r="AG455" s="36"/>
      <c r="AH455" s="36"/>
      <c r="AI455" s="36"/>
    </row>
    <row r="456" spans="1:35" s="62" customFormat="1" ht="13.5" customHeight="1" x14ac:dyDescent="0.25">
      <c r="A456" s="60"/>
      <c r="B456" s="60"/>
      <c r="C456" s="60"/>
      <c r="D456" s="60"/>
      <c r="E456" s="60"/>
      <c r="F456" s="60"/>
      <c r="G456" s="61"/>
      <c r="H456" s="60"/>
      <c r="I456" s="61"/>
      <c r="J456" s="60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6"/>
      <c r="AB456" s="36"/>
      <c r="AC456" s="36"/>
      <c r="AD456" s="36"/>
      <c r="AE456" s="36"/>
      <c r="AF456" s="36"/>
      <c r="AG456" s="36"/>
      <c r="AH456" s="36"/>
      <c r="AI456" s="36"/>
    </row>
    <row r="457" spans="1:35" s="62" customFormat="1" ht="13.5" customHeight="1" x14ac:dyDescent="0.25">
      <c r="A457" s="60"/>
      <c r="B457" s="60"/>
      <c r="C457" s="60"/>
      <c r="D457" s="60"/>
      <c r="E457" s="60"/>
      <c r="F457" s="60"/>
      <c r="G457" s="61"/>
      <c r="H457" s="60"/>
      <c r="I457" s="61"/>
      <c r="J457" s="60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6"/>
      <c r="AB457" s="36"/>
      <c r="AC457" s="36"/>
      <c r="AD457" s="36"/>
      <c r="AE457" s="36"/>
      <c r="AF457" s="36"/>
      <c r="AG457" s="36"/>
      <c r="AH457" s="36"/>
      <c r="AI457" s="36"/>
    </row>
    <row r="458" spans="1:35" s="62" customFormat="1" ht="13.5" customHeight="1" x14ac:dyDescent="0.25">
      <c r="A458" s="60"/>
      <c r="B458" s="60"/>
      <c r="C458" s="60"/>
      <c r="D458" s="60"/>
      <c r="E458" s="60"/>
      <c r="F458" s="60"/>
      <c r="G458" s="61"/>
      <c r="H458" s="60"/>
      <c r="I458" s="61"/>
      <c r="J458" s="60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6"/>
      <c r="AB458" s="36"/>
      <c r="AC458" s="36"/>
      <c r="AD458" s="36"/>
      <c r="AE458" s="36"/>
      <c r="AF458" s="36"/>
      <c r="AG458" s="36"/>
      <c r="AH458" s="36"/>
      <c r="AI458" s="36"/>
    </row>
    <row r="459" spans="1:35" s="62" customFormat="1" ht="13.5" customHeight="1" x14ac:dyDescent="0.25">
      <c r="A459" s="60"/>
      <c r="B459" s="60"/>
      <c r="C459" s="60"/>
      <c r="D459" s="60"/>
      <c r="E459" s="60"/>
      <c r="F459" s="60"/>
      <c r="G459" s="61"/>
      <c r="H459" s="60"/>
      <c r="I459" s="61"/>
      <c r="J459" s="60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6"/>
      <c r="AB459" s="36"/>
      <c r="AC459" s="36"/>
      <c r="AD459" s="36"/>
      <c r="AE459" s="36"/>
      <c r="AF459" s="36"/>
      <c r="AG459" s="36"/>
      <c r="AH459" s="36"/>
      <c r="AI459" s="36"/>
    </row>
    <row r="460" spans="1:35" s="62" customFormat="1" ht="13.5" customHeight="1" x14ac:dyDescent="0.25">
      <c r="A460" s="60"/>
      <c r="B460" s="60"/>
      <c r="C460" s="60"/>
      <c r="D460" s="60"/>
      <c r="E460" s="60"/>
      <c r="F460" s="60"/>
      <c r="G460" s="61"/>
      <c r="H460" s="60"/>
      <c r="I460" s="61"/>
      <c r="J460" s="60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6"/>
      <c r="AB460" s="36"/>
      <c r="AC460" s="36"/>
      <c r="AD460" s="36"/>
      <c r="AE460" s="36"/>
      <c r="AF460" s="36"/>
      <c r="AG460" s="36"/>
      <c r="AH460" s="36"/>
      <c r="AI460" s="36"/>
    </row>
    <row r="461" spans="1:35" s="62" customFormat="1" ht="13.5" customHeight="1" x14ac:dyDescent="0.25">
      <c r="A461" s="60"/>
      <c r="B461" s="60"/>
      <c r="C461" s="60"/>
      <c r="D461" s="60"/>
      <c r="E461" s="60"/>
      <c r="F461" s="60"/>
      <c r="G461" s="61"/>
      <c r="H461" s="60"/>
      <c r="I461" s="61"/>
      <c r="J461" s="60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6"/>
      <c r="AB461" s="36"/>
      <c r="AC461" s="36"/>
      <c r="AD461" s="36"/>
      <c r="AE461" s="36"/>
      <c r="AF461" s="36"/>
      <c r="AG461" s="36"/>
      <c r="AH461" s="36"/>
      <c r="AI461" s="36"/>
    </row>
    <row r="462" spans="1:35" s="62" customFormat="1" ht="13.5" customHeight="1" x14ac:dyDescent="0.25">
      <c r="A462" s="60"/>
      <c r="B462" s="60"/>
      <c r="C462" s="60"/>
      <c r="D462" s="60"/>
      <c r="E462" s="60"/>
      <c r="F462" s="60"/>
      <c r="G462" s="61"/>
      <c r="H462" s="60"/>
      <c r="I462" s="61"/>
      <c r="J462" s="60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6"/>
      <c r="AB462" s="36"/>
      <c r="AC462" s="36"/>
      <c r="AD462" s="36"/>
      <c r="AE462" s="36"/>
      <c r="AF462" s="36"/>
      <c r="AG462" s="36"/>
      <c r="AH462" s="36"/>
      <c r="AI462" s="36"/>
    </row>
    <row r="463" spans="1:35" s="62" customFormat="1" ht="13.5" customHeight="1" x14ac:dyDescent="0.25">
      <c r="A463" s="60"/>
      <c r="B463" s="60"/>
      <c r="C463" s="60"/>
      <c r="D463" s="60"/>
      <c r="E463" s="60"/>
      <c r="F463" s="60"/>
      <c r="G463" s="61"/>
      <c r="H463" s="60"/>
      <c r="I463" s="61"/>
      <c r="J463" s="60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6"/>
      <c r="AB463" s="36"/>
      <c r="AC463" s="36"/>
      <c r="AD463" s="36"/>
      <c r="AE463" s="36"/>
      <c r="AF463" s="36"/>
      <c r="AG463" s="36"/>
      <c r="AH463" s="36"/>
      <c r="AI463" s="36"/>
    </row>
    <row r="464" spans="1:35" s="62" customFormat="1" ht="13.5" customHeight="1" x14ac:dyDescent="0.25">
      <c r="A464" s="60"/>
      <c r="B464" s="60"/>
      <c r="C464" s="60"/>
      <c r="D464" s="60"/>
      <c r="E464" s="60"/>
      <c r="F464" s="60"/>
      <c r="G464" s="61"/>
      <c r="H464" s="60"/>
      <c r="I464" s="61"/>
      <c r="J464" s="60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6"/>
      <c r="AB464" s="36"/>
      <c r="AC464" s="36"/>
      <c r="AD464" s="36"/>
      <c r="AE464" s="36"/>
      <c r="AF464" s="36"/>
      <c r="AG464" s="36"/>
      <c r="AH464" s="36"/>
      <c r="AI464" s="36"/>
    </row>
    <row r="465" spans="1:35" s="62" customFormat="1" ht="13.5" customHeight="1" x14ac:dyDescent="0.25">
      <c r="A465" s="60"/>
      <c r="B465" s="60"/>
      <c r="C465" s="60"/>
      <c r="D465" s="60"/>
      <c r="E465" s="60"/>
      <c r="F465" s="60"/>
      <c r="G465" s="61"/>
      <c r="H465" s="60"/>
      <c r="I465" s="61"/>
      <c r="J465" s="60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6"/>
      <c r="AB465" s="36"/>
      <c r="AC465" s="36"/>
      <c r="AD465" s="36"/>
      <c r="AE465" s="36"/>
      <c r="AF465" s="36"/>
      <c r="AG465" s="36"/>
      <c r="AH465" s="36"/>
      <c r="AI465" s="36"/>
    </row>
    <row r="466" spans="1:35" s="62" customFormat="1" ht="13.5" customHeight="1" x14ac:dyDescent="0.25">
      <c r="A466" s="60"/>
      <c r="B466" s="60"/>
      <c r="C466" s="60"/>
      <c r="D466" s="60"/>
      <c r="E466" s="60"/>
      <c r="F466" s="60"/>
      <c r="G466" s="61"/>
      <c r="H466" s="60"/>
      <c r="I466" s="61"/>
      <c r="J466" s="60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6"/>
      <c r="AB466" s="36"/>
      <c r="AC466" s="36"/>
      <c r="AD466" s="36"/>
      <c r="AE466" s="36"/>
      <c r="AF466" s="36"/>
      <c r="AG466" s="36"/>
      <c r="AH466" s="36"/>
      <c r="AI466" s="36"/>
    </row>
    <row r="467" spans="1:35" s="62" customFormat="1" ht="13.5" customHeight="1" x14ac:dyDescent="0.25">
      <c r="A467" s="60"/>
      <c r="B467" s="60"/>
      <c r="C467" s="60"/>
      <c r="D467" s="60"/>
      <c r="E467" s="60"/>
      <c r="F467" s="60"/>
      <c r="G467" s="61"/>
      <c r="H467" s="60"/>
      <c r="I467" s="61"/>
      <c r="J467" s="60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6"/>
      <c r="AB467" s="36"/>
      <c r="AC467" s="36"/>
      <c r="AD467" s="36"/>
      <c r="AE467" s="36"/>
      <c r="AF467" s="36"/>
      <c r="AG467" s="36"/>
      <c r="AH467" s="36"/>
      <c r="AI467" s="36"/>
    </row>
    <row r="468" spans="1:35" s="62" customFormat="1" ht="13.5" customHeight="1" x14ac:dyDescent="0.25">
      <c r="A468" s="60"/>
      <c r="B468" s="60"/>
      <c r="C468" s="60"/>
      <c r="D468" s="60"/>
      <c r="E468" s="60"/>
      <c r="F468" s="60"/>
      <c r="G468" s="61"/>
      <c r="H468" s="60"/>
      <c r="I468" s="61"/>
      <c r="J468" s="60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6"/>
      <c r="AB468" s="36"/>
      <c r="AC468" s="36"/>
      <c r="AD468" s="36"/>
      <c r="AE468" s="36"/>
      <c r="AF468" s="36"/>
      <c r="AG468" s="36"/>
      <c r="AH468" s="36"/>
      <c r="AI468" s="36"/>
    </row>
    <row r="469" spans="1:35" s="62" customFormat="1" ht="13.5" customHeight="1" x14ac:dyDescent="0.25">
      <c r="A469" s="60"/>
      <c r="B469" s="60"/>
      <c r="C469" s="60"/>
      <c r="D469" s="60"/>
      <c r="E469" s="60"/>
      <c r="F469" s="60"/>
      <c r="G469" s="61"/>
      <c r="H469" s="60"/>
      <c r="I469" s="61"/>
      <c r="J469" s="60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6"/>
      <c r="AB469" s="36"/>
      <c r="AC469" s="36"/>
      <c r="AD469" s="36"/>
      <c r="AE469" s="36"/>
      <c r="AF469" s="36"/>
      <c r="AG469" s="36"/>
      <c r="AH469" s="36"/>
      <c r="AI469" s="36"/>
    </row>
    <row r="470" spans="1:35" s="62" customFormat="1" ht="13.5" customHeight="1" x14ac:dyDescent="0.25">
      <c r="A470" s="60"/>
      <c r="B470" s="60"/>
      <c r="C470" s="60"/>
      <c r="D470" s="60"/>
      <c r="E470" s="60"/>
      <c r="F470" s="60"/>
      <c r="G470" s="61"/>
      <c r="H470" s="60"/>
      <c r="I470" s="61"/>
      <c r="J470" s="60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6"/>
      <c r="AB470" s="36"/>
      <c r="AC470" s="36"/>
      <c r="AD470" s="36"/>
      <c r="AE470" s="36"/>
      <c r="AF470" s="36"/>
      <c r="AG470" s="36"/>
      <c r="AH470" s="36"/>
      <c r="AI470" s="36"/>
    </row>
    <row r="471" spans="1:35" s="62" customFormat="1" ht="13.5" customHeight="1" x14ac:dyDescent="0.25">
      <c r="A471" s="60"/>
      <c r="B471" s="60"/>
      <c r="C471" s="60"/>
      <c r="D471" s="60"/>
      <c r="E471" s="60"/>
      <c r="F471" s="60"/>
      <c r="G471" s="61"/>
      <c r="H471" s="60"/>
      <c r="I471" s="61"/>
      <c r="J471" s="60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6"/>
      <c r="AB471" s="36"/>
      <c r="AC471" s="36"/>
      <c r="AD471" s="36"/>
      <c r="AE471" s="36"/>
      <c r="AF471" s="36"/>
      <c r="AG471" s="36"/>
      <c r="AH471" s="36"/>
      <c r="AI471" s="36"/>
    </row>
    <row r="472" spans="1:35" s="62" customFormat="1" ht="13.5" customHeight="1" x14ac:dyDescent="0.25">
      <c r="A472" s="60"/>
      <c r="B472" s="60"/>
      <c r="C472" s="60"/>
      <c r="D472" s="60"/>
      <c r="E472" s="60"/>
      <c r="F472" s="60"/>
      <c r="G472" s="61"/>
      <c r="H472" s="60"/>
      <c r="I472" s="61"/>
      <c r="J472" s="60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6"/>
      <c r="AB472" s="36"/>
      <c r="AC472" s="36"/>
      <c r="AD472" s="36"/>
      <c r="AE472" s="36"/>
      <c r="AF472" s="36"/>
      <c r="AG472" s="36"/>
      <c r="AH472" s="36"/>
      <c r="AI472" s="36"/>
    </row>
    <row r="473" spans="1:35" s="62" customFormat="1" ht="13.5" customHeight="1" x14ac:dyDescent="0.25">
      <c r="A473" s="60"/>
      <c r="B473" s="60"/>
      <c r="C473" s="60"/>
      <c r="D473" s="60"/>
      <c r="E473" s="60"/>
      <c r="F473" s="60"/>
      <c r="G473" s="61"/>
      <c r="H473" s="60"/>
      <c r="I473" s="61"/>
      <c r="J473" s="60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6"/>
      <c r="AB473" s="36"/>
      <c r="AC473" s="36"/>
      <c r="AD473" s="36"/>
      <c r="AE473" s="36"/>
      <c r="AF473" s="36"/>
      <c r="AG473" s="36"/>
      <c r="AH473" s="36"/>
      <c r="AI473" s="36"/>
    </row>
    <row r="474" spans="1:35" s="62" customFormat="1" ht="13.5" customHeight="1" x14ac:dyDescent="0.25">
      <c r="A474" s="60"/>
      <c r="B474" s="60"/>
      <c r="C474" s="60"/>
      <c r="D474" s="60"/>
      <c r="E474" s="60"/>
      <c r="F474" s="60"/>
      <c r="G474" s="61"/>
      <c r="H474" s="60"/>
      <c r="I474" s="61"/>
      <c r="J474" s="60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6"/>
      <c r="AB474" s="36"/>
      <c r="AC474" s="36"/>
      <c r="AD474" s="36"/>
      <c r="AE474" s="36"/>
      <c r="AF474" s="36"/>
      <c r="AG474" s="36"/>
      <c r="AH474" s="36"/>
      <c r="AI474" s="36"/>
    </row>
    <row r="475" spans="1:35" s="62" customFormat="1" ht="13.5" customHeight="1" x14ac:dyDescent="0.25">
      <c r="A475" s="60"/>
      <c r="B475" s="60"/>
      <c r="C475" s="60"/>
      <c r="D475" s="60"/>
      <c r="E475" s="60"/>
      <c r="F475" s="60"/>
      <c r="G475" s="61"/>
      <c r="H475" s="60"/>
      <c r="I475" s="61"/>
      <c r="J475" s="60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6"/>
      <c r="AB475" s="36"/>
      <c r="AC475" s="36"/>
      <c r="AD475" s="36"/>
      <c r="AE475" s="36"/>
      <c r="AF475" s="36"/>
      <c r="AG475" s="36"/>
      <c r="AH475" s="36"/>
      <c r="AI475" s="36"/>
    </row>
    <row r="476" spans="1:35" s="62" customFormat="1" ht="13.5" customHeight="1" x14ac:dyDescent="0.25">
      <c r="A476" s="60"/>
      <c r="B476" s="60"/>
      <c r="C476" s="60"/>
      <c r="D476" s="60"/>
      <c r="E476" s="60"/>
      <c r="F476" s="60"/>
      <c r="G476" s="61"/>
      <c r="H476" s="60"/>
      <c r="I476" s="61"/>
      <c r="J476" s="60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6"/>
      <c r="AB476" s="36"/>
      <c r="AC476" s="36"/>
      <c r="AD476" s="36"/>
      <c r="AE476" s="36"/>
      <c r="AF476" s="36"/>
      <c r="AG476" s="36"/>
      <c r="AH476" s="36"/>
      <c r="AI476" s="36"/>
    </row>
    <row r="477" spans="1:35" s="62" customFormat="1" ht="13.5" customHeight="1" x14ac:dyDescent="0.25">
      <c r="A477" s="60"/>
      <c r="B477" s="60"/>
      <c r="C477" s="60"/>
      <c r="D477" s="60"/>
      <c r="E477" s="60"/>
      <c r="F477" s="60"/>
      <c r="G477" s="61"/>
      <c r="H477" s="60"/>
      <c r="I477" s="61"/>
      <c r="J477" s="60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6"/>
      <c r="AB477" s="36"/>
      <c r="AC477" s="36"/>
      <c r="AD477" s="36"/>
      <c r="AE477" s="36"/>
      <c r="AF477" s="36"/>
      <c r="AG477" s="36"/>
      <c r="AH477" s="36"/>
      <c r="AI477" s="36"/>
    </row>
    <row r="478" spans="1:35" s="62" customFormat="1" ht="13.5" customHeight="1" x14ac:dyDescent="0.25">
      <c r="A478" s="60"/>
      <c r="B478" s="60"/>
      <c r="C478" s="60"/>
      <c r="D478" s="60"/>
      <c r="E478" s="60"/>
      <c r="F478" s="60"/>
      <c r="G478" s="61"/>
      <c r="H478" s="60"/>
      <c r="I478" s="61"/>
      <c r="J478" s="60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6"/>
      <c r="AB478" s="36"/>
      <c r="AC478" s="36"/>
      <c r="AD478" s="36"/>
      <c r="AE478" s="36"/>
      <c r="AF478" s="36"/>
      <c r="AG478" s="36"/>
      <c r="AH478" s="36"/>
      <c r="AI478" s="36"/>
    </row>
    <row r="479" spans="1:35" s="62" customFormat="1" ht="13.5" customHeight="1" x14ac:dyDescent="0.25">
      <c r="A479" s="60"/>
      <c r="B479" s="60"/>
      <c r="C479" s="60"/>
      <c r="D479" s="60"/>
      <c r="E479" s="60"/>
      <c r="F479" s="60"/>
      <c r="G479" s="61"/>
      <c r="H479" s="60"/>
      <c r="I479" s="61"/>
      <c r="J479" s="60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6"/>
      <c r="AB479" s="36"/>
      <c r="AC479" s="36"/>
      <c r="AD479" s="36"/>
      <c r="AE479" s="36"/>
      <c r="AF479" s="36"/>
      <c r="AG479" s="36"/>
      <c r="AH479" s="36"/>
      <c r="AI479" s="36"/>
    </row>
    <row r="480" spans="1:35" s="62" customFormat="1" ht="13.5" customHeight="1" x14ac:dyDescent="0.25">
      <c r="A480" s="60"/>
      <c r="B480" s="60"/>
      <c r="C480" s="60"/>
      <c r="D480" s="60"/>
      <c r="E480" s="60"/>
      <c r="F480" s="60"/>
      <c r="G480" s="61"/>
      <c r="H480" s="60"/>
      <c r="I480" s="61"/>
      <c r="J480" s="60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6"/>
      <c r="AB480" s="36"/>
      <c r="AC480" s="36"/>
      <c r="AD480" s="36"/>
      <c r="AE480" s="36"/>
      <c r="AF480" s="36"/>
      <c r="AG480" s="36"/>
      <c r="AH480" s="36"/>
      <c r="AI480" s="36"/>
    </row>
    <row r="481" spans="1:35" s="62" customFormat="1" ht="13.5" customHeight="1" x14ac:dyDescent="0.25">
      <c r="A481" s="60"/>
      <c r="B481" s="60"/>
      <c r="C481" s="60"/>
      <c r="D481" s="60"/>
      <c r="E481" s="60"/>
      <c r="F481" s="60"/>
      <c r="G481" s="61"/>
      <c r="H481" s="60"/>
      <c r="I481" s="61"/>
      <c r="J481" s="60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6"/>
      <c r="AB481" s="36"/>
      <c r="AC481" s="36"/>
      <c r="AD481" s="36"/>
      <c r="AE481" s="36"/>
      <c r="AF481" s="36"/>
      <c r="AG481" s="36"/>
      <c r="AH481" s="36"/>
      <c r="AI481" s="36"/>
    </row>
    <row r="482" spans="1:35" s="62" customFormat="1" ht="13.5" customHeight="1" x14ac:dyDescent="0.25">
      <c r="A482" s="60"/>
      <c r="B482" s="60"/>
      <c r="C482" s="60"/>
      <c r="D482" s="60"/>
      <c r="E482" s="60"/>
      <c r="F482" s="60"/>
      <c r="G482" s="61"/>
      <c r="H482" s="60"/>
      <c r="I482" s="61"/>
      <c r="J482" s="60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6"/>
      <c r="AB482" s="36"/>
      <c r="AC482" s="36"/>
      <c r="AD482" s="36"/>
      <c r="AE482" s="36"/>
      <c r="AF482" s="36"/>
      <c r="AG482" s="36"/>
      <c r="AH482" s="36"/>
      <c r="AI482" s="36"/>
    </row>
    <row r="483" spans="1:35" s="62" customFormat="1" ht="13.5" customHeight="1" x14ac:dyDescent="0.25">
      <c r="A483" s="60"/>
      <c r="B483" s="60"/>
      <c r="C483" s="60"/>
      <c r="D483" s="60"/>
      <c r="E483" s="60"/>
      <c r="F483" s="60"/>
      <c r="G483" s="61"/>
      <c r="H483" s="60"/>
      <c r="I483" s="61"/>
      <c r="J483" s="60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6"/>
      <c r="AB483" s="36"/>
      <c r="AC483" s="36"/>
      <c r="AD483" s="36"/>
      <c r="AE483" s="36"/>
      <c r="AF483" s="36"/>
      <c r="AG483" s="36"/>
      <c r="AH483" s="36"/>
      <c r="AI483" s="36"/>
    </row>
    <row r="484" spans="1:35" s="62" customFormat="1" ht="13.5" customHeight="1" x14ac:dyDescent="0.25">
      <c r="A484" s="60"/>
      <c r="B484" s="60"/>
      <c r="C484" s="60"/>
      <c r="D484" s="60"/>
      <c r="E484" s="60"/>
      <c r="F484" s="60"/>
      <c r="G484" s="61"/>
      <c r="H484" s="60"/>
      <c r="I484" s="61"/>
      <c r="J484" s="60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6"/>
      <c r="AB484" s="36"/>
      <c r="AC484" s="36"/>
      <c r="AD484" s="36"/>
      <c r="AE484" s="36"/>
      <c r="AF484" s="36"/>
      <c r="AG484" s="36"/>
      <c r="AH484" s="36"/>
      <c r="AI484" s="36"/>
    </row>
    <row r="485" spans="1:35" s="62" customFormat="1" ht="13.5" customHeight="1" x14ac:dyDescent="0.25">
      <c r="A485" s="60"/>
      <c r="B485" s="60"/>
      <c r="C485" s="60"/>
      <c r="D485" s="60"/>
      <c r="E485" s="60"/>
      <c r="F485" s="60"/>
      <c r="G485" s="61"/>
      <c r="H485" s="60"/>
      <c r="I485" s="61"/>
      <c r="J485" s="60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6"/>
      <c r="AB485" s="36"/>
      <c r="AC485" s="36"/>
      <c r="AD485" s="36"/>
      <c r="AE485" s="36"/>
      <c r="AF485" s="36"/>
      <c r="AG485" s="36"/>
      <c r="AH485" s="36"/>
      <c r="AI485" s="36"/>
    </row>
    <row r="486" spans="1:35" s="62" customFormat="1" ht="13.5" customHeight="1" x14ac:dyDescent="0.25">
      <c r="A486" s="60"/>
      <c r="B486" s="60"/>
      <c r="C486" s="60"/>
      <c r="D486" s="60"/>
      <c r="E486" s="60"/>
      <c r="F486" s="60"/>
      <c r="G486" s="61"/>
      <c r="H486" s="60"/>
      <c r="I486" s="61"/>
      <c r="J486" s="60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6"/>
      <c r="AB486" s="36"/>
      <c r="AC486" s="36"/>
      <c r="AD486" s="36"/>
      <c r="AE486" s="36"/>
      <c r="AF486" s="36"/>
      <c r="AG486" s="36"/>
      <c r="AH486" s="36"/>
      <c r="AI486" s="36"/>
    </row>
    <row r="487" spans="1:35" s="62" customFormat="1" ht="13.5" customHeight="1" x14ac:dyDescent="0.25">
      <c r="A487" s="60"/>
      <c r="B487" s="60"/>
      <c r="C487" s="60"/>
      <c r="D487" s="60"/>
      <c r="E487" s="60"/>
      <c r="F487" s="60"/>
      <c r="G487" s="61"/>
      <c r="H487" s="60"/>
      <c r="I487" s="61"/>
      <c r="J487" s="60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6"/>
      <c r="AB487" s="36"/>
      <c r="AC487" s="36"/>
      <c r="AD487" s="36"/>
      <c r="AE487" s="36"/>
      <c r="AF487" s="36"/>
      <c r="AG487" s="36"/>
      <c r="AH487" s="36"/>
      <c r="AI487" s="36"/>
    </row>
    <row r="488" spans="1:35" s="62" customFormat="1" ht="13.5" customHeight="1" x14ac:dyDescent="0.25">
      <c r="A488" s="60"/>
      <c r="B488" s="60"/>
      <c r="C488" s="60"/>
      <c r="D488" s="60"/>
      <c r="E488" s="60"/>
      <c r="F488" s="60"/>
      <c r="G488" s="61"/>
      <c r="H488" s="60"/>
      <c r="I488" s="61"/>
      <c r="J488" s="60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6"/>
      <c r="AB488" s="36"/>
      <c r="AC488" s="36"/>
      <c r="AD488" s="36"/>
      <c r="AE488" s="36"/>
      <c r="AF488" s="36"/>
      <c r="AG488" s="36"/>
      <c r="AH488" s="36"/>
      <c r="AI488" s="36"/>
    </row>
    <row r="489" spans="1:35" s="62" customFormat="1" ht="13.5" customHeight="1" x14ac:dyDescent="0.25">
      <c r="A489" s="60"/>
      <c r="B489" s="60"/>
      <c r="C489" s="60"/>
      <c r="D489" s="60"/>
      <c r="E489" s="60"/>
      <c r="F489" s="60"/>
      <c r="G489" s="61"/>
      <c r="H489" s="60"/>
      <c r="I489" s="61"/>
      <c r="J489" s="60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6"/>
      <c r="AB489" s="36"/>
      <c r="AC489" s="36"/>
      <c r="AD489" s="36"/>
      <c r="AE489" s="36"/>
      <c r="AF489" s="36"/>
      <c r="AG489" s="36"/>
      <c r="AH489" s="36"/>
      <c r="AI489" s="36"/>
    </row>
    <row r="490" spans="1:35" s="62" customFormat="1" ht="13.5" customHeight="1" x14ac:dyDescent="0.25">
      <c r="A490" s="60"/>
      <c r="B490" s="60"/>
      <c r="C490" s="60"/>
      <c r="D490" s="60"/>
      <c r="E490" s="60"/>
      <c r="F490" s="60"/>
      <c r="G490" s="61"/>
      <c r="H490" s="60"/>
      <c r="I490" s="61"/>
      <c r="J490" s="60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6"/>
      <c r="AB490" s="36"/>
      <c r="AC490" s="36"/>
      <c r="AD490" s="36"/>
      <c r="AE490" s="36"/>
      <c r="AF490" s="36"/>
      <c r="AG490" s="36"/>
      <c r="AH490" s="36"/>
      <c r="AI490" s="36"/>
    </row>
    <row r="491" spans="1:35" s="62" customFormat="1" ht="13.5" customHeight="1" x14ac:dyDescent="0.25">
      <c r="A491" s="60"/>
      <c r="B491" s="60"/>
      <c r="C491" s="60"/>
      <c r="D491" s="60"/>
      <c r="E491" s="60"/>
      <c r="F491" s="60"/>
      <c r="G491" s="61"/>
      <c r="H491" s="60"/>
      <c r="I491" s="61"/>
      <c r="J491" s="60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6"/>
      <c r="AB491" s="36"/>
      <c r="AC491" s="36"/>
      <c r="AD491" s="36"/>
      <c r="AE491" s="36"/>
      <c r="AF491" s="36"/>
      <c r="AG491" s="36"/>
      <c r="AH491" s="36"/>
      <c r="AI491" s="36"/>
    </row>
    <row r="492" spans="1:35" s="62" customFormat="1" ht="13.5" customHeight="1" x14ac:dyDescent="0.25">
      <c r="A492" s="60"/>
      <c r="B492" s="60"/>
      <c r="C492" s="60"/>
      <c r="D492" s="60"/>
      <c r="E492" s="60"/>
      <c r="F492" s="60"/>
      <c r="G492" s="61"/>
      <c r="H492" s="60"/>
      <c r="I492" s="61"/>
      <c r="J492" s="60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6"/>
      <c r="AB492" s="36"/>
      <c r="AC492" s="36"/>
      <c r="AD492" s="36"/>
      <c r="AE492" s="36"/>
      <c r="AF492" s="36"/>
      <c r="AG492" s="36"/>
      <c r="AH492" s="36"/>
      <c r="AI492" s="36"/>
    </row>
    <row r="493" spans="1:35" s="62" customFormat="1" ht="13.5" customHeight="1" x14ac:dyDescent="0.25">
      <c r="A493" s="60"/>
      <c r="B493" s="60"/>
      <c r="C493" s="60"/>
      <c r="D493" s="60"/>
      <c r="E493" s="60"/>
      <c r="F493" s="60"/>
      <c r="G493" s="61"/>
      <c r="H493" s="60"/>
      <c r="I493" s="61"/>
      <c r="J493" s="60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6"/>
      <c r="AB493" s="36"/>
      <c r="AC493" s="36"/>
      <c r="AD493" s="36"/>
      <c r="AE493" s="36"/>
      <c r="AF493" s="36"/>
      <c r="AG493" s="36"/>
      <c r="AH493" s="36"/>
      <c r="AI493" s="36"/>
    </row>
    <row r="494" spans="1:35" s="62" customFormat="1" ht="13.5" customHeight="1" x14ac:dyDescent="0.25">
      <c r="A494" s="60"/>
      <c r="B494" s="60"/>
      <c r="C494" s="60"/>
      <c r="D494" s="60"/>
      <c r="E494" s="60"/>
      <c r="F494" s="60"/>
      <c r="G494" s="61"/>
      <c r="H494" s="60"/>
      <c r="I494" s="61"/>
      <c r="J494" s="60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6"/>
      <c r="AB494" s="36"/>
      <c r="AC494" s="36"/>
      <c r="AD494" s="36"/>
      <c r="AE494" s="36"/>
      <c r="AF494" s="36"/>
      <c r="AG494" s="36"/>
      <c r="AH494" s="36"/>
      <c r="AI494" s="36"/>
    </row>
    <row r="495" spans="1:35" s="62" customFormat="1" ht="13.5" customHeight="1" x14ac:dyDescent="0.25">
      <c r="A495" s="60"/>
      <c r="B495" s="60"/>
      <c r="C495" s="60"/>
      <c r="D495" s="60"/>
      <c r="E495" s="60"/>
      <c r="F495" s="60"/>
      <c r="G495" s="61"/>
      <c r="H495" s="60"/>
      <c r="I495" s="61"/>
      <c r="J495" s="60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6"/>
      <c r="AB495" s="36"/>
      <c r="AC495" s="36"/>
      <c r="AD495" s="36"/>
      <c r="AE495" s="36"/>
      <c r="AF495" s="36"/>
      <c r="AG495" s="36"/>
      <c r="AH495" s="36"/>
      <c r="AI495" s="36"/>
    </row>
    <row r="496" spans="1:35" s="62" customFormat="1" ht="13.5" customHeight="1" x14ac:dyDescent="0.25">
      <c r="A496" s="60"/>
      <c r="B496" s="60"/>
      <c r="C496" s="60"/>
      <c r="D496" s="60"/>
      <c r="E496" s="60"/>
      <c r="F496" s="60"/>
      <c r="G496" s="61"/>
      <c r="H496" s="60"/>
      <c r="I496" s="61"/>
      <c r="J496" s="60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6"/>
      <c r="AB496" s="36"/>
      <c r="AC496" s="36"/>
      <c r="AD496" s="36"/>
      <c r="AE496" s="36"/>
      <c r="AF496" s="36"/>
      <c r="AG496" s="36"/>
      <c r="AH496" s="36"/>
      <c r="AI496" s="36"/>
    </row>
    <row r="497" spans="1:35" s="62" customFormat="1" ht="13.5" customHeight="1" x14ac:dyDescent="0.25">
      <c r="A497" s="60"/>
      <c r="B497" s="60"/>
      <c r="C497" s="60"/>
      <c r="D497" s="60"/>
      <c r="E497" s="60"/>
      <c r="F497" s="60"/>
      <c r="G497" s="61"/>
      <c r="H497" s="60"/>
      <c r="I497" s="61"/>
      <c r="J497" s="60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6"/>
      <c r="AB497" s="36"/>
      <c r="AC497" s="36"/>
      <c r="AD497" s="36"/>
      <c r="AE497" s="36"/>
      <c r="AF497" s="36"/>
      <c r="AG497" s="36"/>
      <c r="AH497" s="36"/>
      <c r="AI497" s="36"/>
    </row>
    <row r="498" spans="1:35" s="62" customFormat="1" ht="13.5" customHeight="1" x14ac:dyDescent="0.25">
      <c r="A498" s="60"/>
      <c r="B498" s="60"/>
      <c r="C498" s="60"/>
      <c r="D498" s="60"/>
      <c r="E498" s="60"/>
      <c r="F498" s="60"/>
      <c r="G498" s="61"/>
      <c r="H498" s="60"/>
      <c r="I498" s="61"/>
      <c r="J498" s="60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6"/>
      <c r="AB498" s="36"/>
      <c r="AC498" s="36"/>
      <c r="AD498" s="36"/>
      <c r="AE498" s="36"/>
      <c r="AF498" s="36"/>
      <c r="AG498" s="36"/>
      <c r="AH498" s="36"/>
      <c r="AI498" s="36"/>
    </row>
    <row r="499" spans="1:35" s="62" customFormat="1" ht="13.5" customHeight="1" x14ac:dyDescent="0.25">
      <c r="A499" s="60"/>
      <c r="B499" s="60"/>
      <c r="C499" s="60"/>
      <c r="D499" s="60"/>
      <c r="E499" s="60"/>
      <c r="F499" s="60"/>
      <c r="G499" s="61"/>
      <c r="H499" s="60"/>
      <c r="I499" s="61"/>
      <c r="J499" s="60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6"/>
      <c r="AB499" s="36"/>
      <c r="AC499" s="36"/>
      <c r="AD499" s="36"/>
      <c r="AE499" s="36"/>
      <c r="AF499" s="36"/>
      <c r="AG499" s="36"/>
      <c r="AH499" s="36"/>
      <c r="AI499" s="36"/>
    </row>
    <row r="500" spans="1:35" s="62" customFormat="1" ht="13.5" customHeight="1" x14ac:dyDescent="0.25">
      <c r="A500" s="60"/>
      <c r="B500" s="60"/>
      <c r="C500" s="60"/>
      <c r="D500" s="60"/>
      <c r="E500" s="60"/>
      <c r="F500" s="60"/>
      <c r="G500" s="61"/>
      <c r="H500" s="60"/>
      <c r="I500" s="61"/>
      <c r="J500" s="60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6"/>
      <c r="AB500" s="36"/>
      <c r="AC500" s="36"/>
      <c r="AD500" s="36"/>
      <c r="AE500" s="36"/>
      <c r="AF500" s="36"/>
      <c r="AG500" s="36"/>
      <c r="AH500" s="36"/>
      <c r="AI500" s="36"/>
    </row>
    <row r="501" spans="1:35" s="62" customFormat="1" ht="13.5" customHeight="1" x14ac:dyDescent="0.25">
      <c r="A501" s="60"/>
      <c r="B501" s="60"/>
      <c r="C501" s="60"/>
      <c r="D501" s="60"/>
      <c r="E501" s="60"/>
      <c r="F501" s="60"/>
      <c r="G501" s="61"/>
      <c r="H501" s="60"/>
      <c r="I501" s="61"/>
      <c r="J501" s="60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6"/>
      <c r="AB501" s="36"/>
      <c r="AC501" s="36"/>
      <c r="AD501" s="36"/>
      <c r="AE501" s="36"/>
      <c r="AF501" s="36"/>
      <c r="AG501" s="36"/>
      <c r="AH501" s="36"/>
      <c r="AI501" s="36"/>
    </row>
    <row r="502" spans="1:35" s="62" customFormat="1" ht="13.5" customHeight="1" x14ac:dyDescent="0.25">
      <c r="A502" s="60"/>
      <c r="B502" s="60"/>
      <c r="C502" s="60"/>
      <c r="D502" s="60"/>
      <c r="E502" s="60"/>
      <c r="F502" s="60"/>
      <c r="G502" s="61"/>
      <c r="H502" s="60"/>
      <c r="I502" s="61"/>
      <c r="J502" s="60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6"/>
      <c r="AB502" s="36"/>
      <c r="AC502" s="36"/>
      <c r="AD502" s="36"/>
      <c r="AE502" s="36"/>
      <c r="AF502" s="36"/>
      <c r="AG502" s="36"/>
      <c r="AH502" s="36"/>
      <c r="AI502" s="36"/>
    </row>
    <row r="503" spans="1:35" s="62" customFormat="1" ht="13.5" customHeight="1" x14ac:dyDescent="0.25">
      <c r="A503" s="60"/>
      <c r="B503" s="60"/>
      <c r="C503" s="60"/>
      <c r="D503" s="60"/>
      <c r="E503" s="60"/>
      <c r="F503" s="60"/>
      <c r="G503" s="61"/>
      <c r="H503" s="60"/>
      <c r="I503" s="61"/>
      <c r="J503" s="60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6"/>
      <c r="AB503" s="36"/>
      <c r="AC503" s="36"/>
      <c r="AD503" s="36"/>
      <c r="AE503" s="36"/>
      <c r="AF503" s="36"/>
      <c r="AG503" s="36"/>
      <c r="AH503" s="36"/>
      <c r="AI503" s="36"/>
    </row>
    <row r="504" spans="1:35" s="62" customFormat="1" ht="13.5" customHeight="1" x14ac:dyDescent="0.25">
      <c r="A504" s="60"/>
      <c r="B504" s="60"/>
      <c r="C504" s="60"/>
      <c r="D504" s="60"/>
      <c r="E504" s="60"/>
      <c r="F504" s="60"/>
      <c r="G504" s="61"/>
      <c r="H504" s="60"/>
      <c r="I504" s="61"/>
      <c r="J504" s="60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6"/>
      <c r="AB504" s="36"/>
      <c r="AC504" s="36"/>
      <c r="AD504" s="36"/>
      <c r="AE504" s="36"/>
      <c r="AF504" s="36"/>
      <c r="AG504" s="36"/>
      <c r="AH504" s="36"/>
      <c r="AI504" s="36"/>
    </row>
    <row r="505" spans="1:35" s="62" customFormat="1" ht="13.5" customHeight="1" x14ac:dyDescent="0.25">
      <c r="A505" s="60"/>
      <c r="B505" s="60"/>
      <c r="C505" s="60"/>
      <c r="D505" s="60"/>
      <c r="E505" s="60"/>
      <c r="F505" s="60"/>
      <c r="G505" s="61"/>
      <c r="H505" s="60"/>
      <c r="I505" s="61"/>
      <c r="J505" s="60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6"/>
      <c r="AB505" s="36"/>
      <c r="AC505" s="36"/>
      <c r="AD505" s="36"/>
      <c r="AE505" s="36"/>
      <c r="AF505" s="36"/>
      <c r="AG505" s="36"/>
      <c r="AH505" s="36"/>
      <c r="AI505" s="36"/>
    </row>
    <row r="506" spans="1:35" s="62" customFormat="1" ht="13.5" customHeight="1" x14ac:dyDescent="0.25">
      <c r="A506" s="60"/>
      <c r="B506" s="60"/>
      <c r="C506" s="60"/>
      <c r="D506" s="60"/>
      <c r="E506" s="60"/>
      <c r="F506" s="60"/>
      <c r="G506" s="61"/>
      <c r="H506" s="60"/>
      <c r="I506" s="61"/>
      <c r="J506" s="60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6"/>
      <c r="AB506" s="36"/>
      <c r="AC506" s="36"/>
      <c r="AD506" s="36"/>
      <c r="AE506" s="36"/>
      <c r="AF506" s="36"/>
      <c r="AG506" s="36"/>
      <c r="AH506" s="36"/>
      <c r="AI506" s="36"/>
    </row>
    <row r="507" spans="1:35" s="62" customFormat="1" ht="13.5" customHeight="1" x14ac:dyDescent="0.25">
      <c r="A507" s="60"/>
      <c r="B507" s="60"/>
      <c r="C507" s="60"/>
      <c r="D507" s="60"/>
      <c r="E507" s="60"/>
      <c r="F507" s="60"/>
      <c r="G507" s="61"/>
      <c r="H507" s="60"/>
      <c r="I507" s="61"/>
      <c r="J507" s="60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6"/>
      <c r="AB507" s="36"/>
      <c r="AC507" s="36"/>
      <c r="AD507" s="36"/>
      <c r="AE507" s="36"/>
      <c r="AF507" s="36"/>
      <c r="AG507" s="36"/>
      <c r="AH507" s="36"/>
      <c r="AI507" s="36"/>
    </row>
    <row r="508" spans="1:35" s="62" customFormat="1" ht="13.5" customHeight="1" x14ac:dyDescent="0.25">
      <c r="A508" s="60"/>
      <c r="B508" s="60"/>
      <c r="C508" s="60"/>
      <c r="D508" s="60"/>
      <c r="E508" s="60"/>
      <c r="F508" s="60"/>
      <c r="G508" s="61"/>
      <c r="H508" s="60"/>
      <c r="I508" s="61"/>
      <c r="J508" s="60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6"/>
      <c r="AB508" s="36"/>
      <c r="AC508" s="36"/>
      <c r="AD508" s="36"/>
      <c r="AE508" s="36"/>
      <c r="AF508" s="36"/>
      <c r="AG508" s="36"/>
      <c r="AH508" s="36"/>
      <c r="AI508" s="36"/>
    </row>
    <row r="509" spans="1:35" s="62" customFormat="1" ht="13.5" customHeight="1" x14ac:dyDescent="0.25">
      <c r="A509" s="60"/>
      <c r="B509" s="60"/>
      <c r="C509" s="60"/>
      <c r="D509" s="60"/>
      <c r="E509" s="60"/>
      <c r="F509" s="60"/>
      <c r="G509" s="61"/>
      <c r="H509" s="60"/>
      <c r="I509" s="61"/>
      <c r="J509" s="60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6"/>
      <c r="AB509" s="36"/>
      <c r="AC509" s="36"/>
      <c r="AD509" s="36"/>
      <c r="AE509" s="36"/>
      <c r="AF509" s="36"/>
      <c r="AG509" s="36"/>
      <c r="AH509" s="36"/>
      <c r="AI509" s="36"/>
    </row>
    <row r="510" spans="1:35" s="62" customFormat="1" ht="13.5" customHeight="1" x14ac:dyDescent="0.25">
      <c r="A510" s="60"/>
      <c r="B510" s="60"/>
      <c r="C510" s="60"/>
      <c r="D510" s="60"/>
      <c r="E510" s="60"/>
      <c r="F510" s="60"/>
      <c r="G510" s="61"/>
      <c r="H510" s="60"/>
      <c r="I510" s="61"/>
      <c r="J510" s="60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6"/>
      <c r="AB510" s="36"/>
      <c r="AC510" s="36"/>
      <c r="AD510" s="36"/>
      <c r="AE510" s="36"/>
      <c r="AF510" s="36"/>
      <c r="AG510" s="36"/>
      <c r="AH510" s="36"/>
      <c r="AI510" s="36"/>
    </row>
    <row r="511" spans="1:35" s="62" customFormat="1" ht="13.5" customHeight="1" x14ac:dyDescent="0.25">
      <c r="A511" s="60"/>
      <c r="B511" s="60"/>
      <c r="C511" s="60"/>
      <c r="D511" s="60"/>
      <c r="E511" s="60"/>
      <c r="F511" s="60"/>
      <c r="G511" s="61"/>
      <c r="H511" s="60"/>
      <c r="I511" s="61"/>
      <c r="J511" s="60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6"/>
      <c r="AB511" s="36"/>
      <c r="AC511" s="36"/>
      <c r="AD511" s="36"/>
      <c r="AE511" s="36"/>
      <c r="AF511" s="36"/>
      <c r="AG511" s="36"/>
      <c r="AH511" s="36"/>
      <c r="AI511" s="36"/>
    </row>
    <row r="512" spans="1:35" s="62" customFormat="1" ht="13.5" customHeight="1" x14ac:dyDescent="0.25">
      <c r="A512" s="60"/>
      <c r="B512" s="60"/>
      <c r="C512" s="60"/>
      <c r="D512" s="60"/>
      <c r="E512" s="60"/>
      <c r="F512" s="60"/>
      <c r="G512" s="61"/>
      <c r="H512" s="60"/>
      <c r="I512" s="61"/>
      <c r="J512" s="60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6"/>
      <c r="AB512" s="36"/>
      <c r="AC512" s="36"/>
      <c r="AD512" s="36"/>
      <c r="AE512" s="36"/>
      <c r="AF512" s="36"/>
      <c r="AG512" s="36"/>
      <c r="AH512" s="36"/>
      <c r="AI512" s="36"/>
    </row>
    <row r="513" spans="1:35" s="62" customFormat="1" ht="13.5" customHeight="1" x14ac:dyDescent="0.25">
      <c r="A513" s="60"/>
      <c r="B513" s="60"/>
      <c r="C513" s="60"/>
      <c r="D513" s="60"/>
      <c r="E513" s="60"/>
      <c r="F513" s="60"/>
      <c r="G513" s="61"/>
      <c r="H513" s="60"/>
      <c r="I513" s="61"/>
      <c r="J513" s="60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6"/>
      <c r="AB513" s="36"/>
      <c r="AC513" s="36"/>
      <c r="AD513" s="36"/>
      <c r="AE513" s="36"/>
      <c r="AF513" s="36"/>
      <c r="AG513" s="36"/>
      <c r="AH513" s="36"/>
      <c r="AI513" s="36"/>
    </row>
    <row r="514" spans="1:35" s="62" customFormat="1" ht="13.5" customHeight="1" x14ac:dyDescent="0.25">
      <c r="A514" s="60"/>
      <c r="B514" s="60"/>
      <c r="C514" s="60"/>
      <c r="D514" s="60"/>
      <c r="E514" s="60"/>
      <c r="F514" s="60"/>
      <c r="G514" s="61"/>
      <c r="H514" s="60"/>
      <c r="I514" s="61"/>
      <c r="J514" s="60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6"/>
      <c r="AB514" s="36"/>
      <c r="AC514" s="36"/>
      <c r="AD514" s="36"/>
      <c r="AE514" s="36"/>
      <c r="AF514" s="36"/>
      <c r="AG514" s="36"/>
      <c r="AH514" s="36"/>
      <c r="AI514" s="36"/>
    </row>
    <row r="515" spans="1:35" s="62" customFormat="1" ht="13.5" customHeight="1" x14ac:dyDescent="0.25">
      <c r="A515" s="60"/>
      <c r="B515" s="60"/>
      <c r="C515" s="60"/>
      <c r="D515" s="60"/>
      <c r="E515" s="60"/>
      <c r="F515" s="60"/>
      <c r="G515" s="61"/>
      <c r="H515" s="60"/>
      <c r="I515" s="61"/>
      <c r="J515" s="60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6"/>
      <c r="AB515" s="36"/>
      <c r="AC515" s="36"/>
      <c r="AD515" s="36"/>
      <c r="AE515" s="36"/>
      <c r="AF515" s="36"/>
      <c r="AG515" s="36"/>
      <c r="AH515" s="36"/>
      <c r="AI515" s="36"/>
    </row>
    <row r="516" spans="1:35" s="62" customFormat="1" ht="13.5" customHeight="1" x14ac:dyDescent="0.25">
      <c r="A516" s="60"/>
      <c r="B516" s="60"/>
      <c r="C516" s="60"/>
      <c r="D516" s="60"/>
      <c r="E516" s="60"/>
      <c r="F516" s="60"/>
      <c r="G516" s="61"/>
      <c r="H516" s="60"/>
      <c r="I516" s="61"/>
      <c r="J516" s="60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6"/>
      <c r="AB516" s="36"/>
      <c r="AC516" s="36"/>
      <c r="AD516" s="36"/>
      <c r="AE516" s="36"/>
      <c r="AF516" s="36"/>
      <c r="AG516" s="36"/>
      <c r="AH516" s="36"/>
      <c r="AI516" s="36"/>
    </row>
    <row r="517" spans="1:35" s="62" customFormat="1" ht="13.5" customHeight="1" x14ac:dyDescent="0.25">
      <c r="A517" s="60"/>
      <c r="B517" s="60"/>
      <c r="C517" s="60"/>
      <c r="D517" s="60"/>
      <c r="E517" s="60"/>
      <c r="F517" s="60"/>
      <c r="G517" s="61"/>
      <c r="H517" s="60"/>
      <c r="I517" s="61"/>
      <c r="J517" s="60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6"/>
      <c r="AB517" s="36"/>
      <c r="AC517" s="36"/>
      <c r="AD517" s="36"/>
      <c r="AE517" s="36"/>
      <c r="AF517" s="36"/>
      <c r="AG517" s="36"/>
      <c r="AH517" s="36"/>
      <c r="AI517" s="36"/>
    </row>
    <row r="518" spans="1:35" s="62" customFormat="1" ht="13.5" customHeight="1" x14ac:dyDescent="0.25">
      <c r="A518" s="60"/>
      <c r="B518" s="60"/>
      <c r="C518" s="60"/>
      <c r="D518" s="60"/>
      <c r="E518" s="60"/>
      <c r="F518" s="60"/>
      <c r="G518" s="61"/>
      <c r="H518" s="60"/>
      <c r="I518" s="61"/>
      <c r="J518" s="60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6"/>
      <c r="AB518" s="36"/>
      <c r="AC518" s="36"/>
      <c r="AD518" s="36"/>
      <c r="AE518" s="36"/>
      <c r="AF518" s="36"/>
      <c r="AG518" s="36"/>
      <c r="AH518" s="36"/>
      <c r="AI518" s="36"/>
    </row>
    <row r="519" spans="1:35" s="62" customFormat="1" ht="13.5" customHeight="1" x14ac:dyDescent="0.25">
      <c r="A519" s="60"/>
      <c r="B519" s="60"/>
      <c r="C519" s="60"/>
      <c r="D519" s="60"/>
      <c r="E519" s="60"/>
      <c r="F519" s="60"/>
      <c r="G519" s="61"/>
      <c r="H519" s="60"/>
      <c r="I519" s="61"/>
      <c r="J519" s="60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6"/>
      <c r="AB519" s="36"/>
      <c r="AC519" s="36"/>
      <c r="AD519" s="36"/>
      <c r="AE519" s="36"/>
      <c r="AF519" s="36"/>
      <c r="AG519" s="36"/>
      <c r="AH519" s="36"/>
      <c r="AI519" s="36"/>
    </row>
    <row r="520" spans="1:35" s="62" customFormat="1" ht="13.5" customHeight="1" x14ac:dyDescent="0.25">
      <c r="A520" s="60"/>
      <c r="B520" s="60"/>
      <c r="C520" s="60"/>
      <c r="D520" s="60"/>
      <c r="E520" s="60"/>
      <c r="F520" s="60"/>
      <c r="G520" s="61"/>
      <c r="H520" s="60"/>
      <c r="I520" s="61"/>
      <c r="J520" s="60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6"/>
      <c r="AB520" s="36"/>
      <c r="AC520" s="36"/>
      <c r="AD520" s="36"/>
      <c r="AE520" s="36"/>
      <c r="AF520" s="36"/>
      <c r="AG520" s="36"/>
      <c r="AH520" s="36"/>
      <c r="AI520" s="36"/>
    </row>
    <row r="521" spans="1:35" s="62" customFormat="1" ht="13.5" customHeight="1" x14ac:dyDescent="0.25">
      <c r="A521" s="60"/>
      <c r="B521" s="60"/>
      <c r="C521" s="60"/>
      <c r="D521" s="60"/>
      <c r="E521" s="60"/>
      <c r="F521" s="60"/>
      <c r="G521" s="61"/>
      <c r="H521" s="60"/>
      <c r="I521" s="61"/>
      <c r="J521" s="60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6"/>
      <c r="AB521" s="36"/>
      <c r="AC521" s="36"/>
      <c r="AD521" s="36"/>
      <c r="AE521" s="36"/>
      <c r="AF521" s="36"/>
      <c r="AG521" s="36"/>
      <c r="AH521" s="36"/>
      <c r="AI521" s="36"/>
    </row>
    <row r="522" spans="1:35" s="62" customFormat="1" ht="13.5" customHeight="1" x14ac:dyDescent="0.25">
      <c r="A522" s="60"/>
      <c r="B522" s="60"/>
      <c r="C522" s="60"/>
      <c r="D522" s="60"/>
      <c r="E522" s="60"/>
      <c r="F522" s="60"/>
      <c r="G522" s="61"/>
      <c r="H522" s="60"/>
      <c r="I522" s="61"/>
      <c r="J522" s="60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6"/>
      <c r="AB522" s="36"/>
      <c r="AC522" s="36"/>
      <c r="AD522" s="36"/>
      <c r="AE522" s="36"/>
      <c r="AF522" s="36"/>
      <c r="AG522" s="36"/>
      <c r="AH522" s="36"/>
      <c r="AI522" s="36"/>
    </row>
    <row r="523" spans="1:35" s="62" customFormat="1" ht="13.5" customHeight="1" x14ac:dyDescent="0.25">
      <c r="A523" s="60"/>
      <c r="B523" s="60"/>
      <c r="C523" s="60"/>
      <c r="D523" s="60"/>
      <c r="E523" s="60"/>
      <c r="F523" s="60"/>
      <c r="G523" s="61"/>
      <c r="H523" s="60"/>
      <c r="I523" s="61"/>
      <c r="J523" s="60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6"/>
      <c r="AB523" s="36"/>
      <c r="AC523" s="36"/>
      <c r="AD523" s="36"/>
      <c r="AE523" s="36"/>
      <c r="AF523" s="36"/>
      <c r="AG523" s="36"/>
      <c r="AH523" s="36"/>
      <c r="AI523" s="36"/>
    </row>
    <row r="524" spans="1:35" s="62" customFormat="1" ht="13.5" customHeight="1" x14ac:dyDescent="0.25">
      <c r="A524" s="60"/>
      <c r="B524" s="60"/>
      <c r="C524" s="60"/>
      <c r="D524" s="60"/>
      <c r="E524" s="60"/>
      <c r="F524" s="60"/>
      <c r="G524" s="61"/>
      <c r="H524" s="60"/>
      <c r="I524" s="61"/>
      <c r="J524" s="60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6"/>
      <c r="AB524" s="36"/>
      <c r="AC524" s="36"/>
      <c r="AD524" s="36"/>
      <c r="AE524" s="36"/>
      <c r="AF524" s="36"/>
      <c r="AG524" s="36"/>
      <c r="AH524" s="36"/>
      <c r="AI524" s="36"/>
    </row>
    <row r="525" spans="1:35" s="62" customFormat="1" ht="13.5" customHeight="1" x14ac:dyDescent="0.25">
      <c r="A525" s="60"/>
      <c r="B525" s="60"/>
      <c r="C525" s="60"/>
      <c r="D525" s="60"/>
      <c r="E525" s="60"/>
      <c r="F525" s="60"/>
      <c r="G525" s="61"/>
      <c r="H525" s="60"/>
      <c r="I525" s="61"/>
      <c r="J525" s="60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6"/>
      <c r="AB525" s="36"/>
      <c r="AC525" s="36"/>
      <c r="AD525" s="36"/>
      <c r="AE525" s="36"/>
      <c r="AF525" s="36"/>
      <c r="AG525" s="36"/>
      <c r="AH525" s="36"/>
      <c r="AI525" s="36"/>
    </row>
    <row r="526" spans="1:35" s="62" customFormat="1" ht="13.5" customHeight="1" x14ac:dyDescent="0.25">
      <c r="A526" s="60"/>
      <c r="B526" s="60"/>
      <c r="C526" s="60"/>
      <c r="D526" s="60"/>
      <c r="E526" s="60"/>
      <c r="F526" s="60"/>
      <c r="G526" s="61"/>
      <c r="H526" s="60"/>
      <c r="I526" s="61"/>
      <c r="J526" s="60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6"/>
      <c r="AB526" s="36"/>
      <c r="AC526" s="36"/>
      <c r="AD526" s="36"/>
      <c r="AE526" s="36"/>
      <c r="AF526" s="36"/>
      <c r="AG526" s="36"/>
      <c r="AH526" s="36"/>
      <c r="AI526" s="36"/>
    </row>
    <row r="527" spans="1:35" s="62" customFormat="1" ht="13.5" customHeight="1" x14ac:dyDescent="0.25">
      <c r="A527" s="60"/>
      <c r="B527" s="60"/>
      <c r="C527" s="60"/>
      <c r="D527" s="60"/>
      <c r="E527" s="60"/>
      <c r="F527" s="60"/>
      <c r="G527" s="61"/>
      <c r="H527" s="60"/>
      <c r="I527" s="61"/>
      <c r="J527" s="60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6"/>
      <c r="AB527" s="36"/>
      <c r="AC527" s="36"/>
      <c r="AD527" s="36"/>
      <c r="AE527" s="36"/>
      <c r="AF527" s="36"/>
      <c r="AG527" s="36"/>
      <c r="AH527" s="36"/>
      <c r="AI527" s="36"/>
    </row>
    <row r="528" spans="1:35" s="62" customFormat="1" ht="13.5" customHeight="1" x14ac:dyDescent="0.25">
      <c r="A528" s="60"/>
      <c r="B528" s="60"/>
      <c r="C528" s="60"/>
      <c r="D528" s="60"/>
      <c r="E528" s="60"/>
      <c r="F528" s="60"/>
      <c r="G528" s="61"/>
      <c r="H528" s="60"/>
      <c r="I528" s="61"/>
      <c r="J528" s="60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6"/>
      <c r="AB528" s="36"/>
      <c r="AC528" s="36"/>
      <c r="AD528" s="36"/>
      <c r="AE528" s="36"/>
      <c r="AF528" s="36"/>
      <c r="AG528" s="36"/>
      <c r="AH528" s="36"/>
      <c r="AI528" s="36"/>
    </row>
    <row r="529" spans="1:35" s="62" customFormat="1" ht="13.5" customHeight="1" x14ac:dyDescent="0.25">
      <c r="A529" s="60"/>
      <c r="B529" s="60"/>
      <c r="C529" s="60"/>
      <c r="D529" s="60"/>
      <c r="E529" s="60"/>
      <c r="F529" s="60"/>
      <c r="G529" s="61"/>
      <c r="H529" s="60"/>
      <c r="I529" s="61"/>
      <c r="J529" s="60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6"/>
      <c r="AB529" s="36"/>
      <c r="AC529" s="36"/>
      <c r="AD529" s="36"/>
      <c r="AE529" s="36"/>
      <c r="AF529" s="36"/>
      <c r="AG529" s="36"/>
      <c r="AH529" s="36"/>
      <c r="AI529" s="36"/>
    </row>
    <row r="530" spans="1:35" s="62" customFormat="1" ht="13.5" customHeight="1" x14ac:dyDescent="0.25">
      <c r="A530" s="60"/>
      <c r="B530" s="60"/>
      <c r="C530" s="60"/>
      <c r="D530" s="60"/>
      <c r="E530" s="60"/>
      <c r="F530" s="60"/>
      <c r="G530" s="61"/>
      <c r="H530" s="60"/>
      <c r="I530" s="61"/>
      <c r="J530" s="60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6"/>
      <c r="AB530" s="36"/>
      <c r="AC530" s="36"/>
      <c r="AD530" s="36"/>
      <c r="AE530" s="36"/>
      <c r="AF530" s="36"/>
      <c r="AG530" s="36"/>
      <c r="AH530" s="36"/>
      <c r="AI530" s="36"/>
    </row>
    <row r="531" spans="1:35" s="62" customFormat="1" ht="13.5" customHeight="1" x14ac:dyDescent="0.25">
      <c r="A531" s="60"/>
      <c r="B531" s="60"/>
      <c r="C531" s="60"/>
      <c r="D531" s="60"/>
      <c r="E531" s="60"/>
      <c r="F531" s="60"/>
      <c r="G531" s="61"/>
      <c r="H531" s="60"/>
      <c r="I531" s="61"/>
      <c r="J531" s="60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6"/>
      <c r="AB531" s="36"/>
      <c r="AC531" s="36"/>
      <c r="AD531" s="36"/>
      <c r="AE531" s="36"/>
      <c r="AF531" s="36"/>
      <c r="AG531" s="36"/>
      <c r="AH531" s="36"/>
      <c r="AI531" s="36"/>
    </row>
    <row r="532" spans="1:35" s="62" customFormat="1" ht="13.5" customHeight="1" x14ac:dyDescent="0.25">
      <c r="A532" s="60"/>
      <c r="B532" s="60"/>
      <c r="C532" s="60"/>
      <c r="D532" s="60"/>
      <c r="E532" s="60"/>
      <c r="F532" s="60"/>
      <c r="G532" s="61"/>
      <c r="H532" s="60"/>
      <c r="I532" s="61"/>
      <c r="J532" s="60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6"/>
      <c r="AB532" s="36"/>
      <c r="AC532" s="36"/>
      <c r="AD532" s="36"/>
      <c r="AE532" s="36"/>
      <c r="AF532" s="36"/>
      <c r="AG532" s="36"/>
      <c r="AH532" s="36"/>
      <c r="AI532" s="36"/>
    </row>
    <row r="533" spans="1:35" s="62" customFormat="1" ht="13.5" customHeight="1" x14ac:dyDescent="0.25">
      <c r="A533" s="60"/>
      <c r="B533" s="60"/>
      <c r="C533" s="60"/>
      <c r="D533" s="60"/>
      <c r="E533" s="60"/>
      <c r="F533" s="60"/>
      <c r="G533" s="61"/>
      <c r="H533" s="60"/>
      <c r="I533" s="61"/>
      <c r="J533" s="60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6"/>
      <c r="AB533" s="36"/>
      <c r="AC533" s="36"/>
      <c r="AD533" s="36"/>
      <c r="AE533" s="36"/>
      <c r="AF533" s="36"/>
      <c r="AG533" s="36"/>
      <c r="AH533" s="36"/>
      <c r="AI533" s="36"/>
    </row>
    <row r="534" spans="1:35" s="62" customFormat="1" ht="13.5" customHeight="1" x14ac:dyDescent="0.25">
      <c r="A534" s="60"/>
      <c r="B534" s="60"/>
      <c r="C534" s="60"/>
      <c r="D534" s="60"/>
      <c r="E534" s="60"/>
      <c r="F534" s="60"/>
      <c r="G534" s="61"/>
      <c r="H534" s="60"/>
      <c r="I534" s="61"/>
      <c r="J534" s="60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6"/>
      <c r="AB534" s="36"/>
      <c r="AC534" s="36"/>
      <c r="AD534" s="36"/>
      <c r="AE534" s="36"/>
      <c r="AF534" s="36"/>
      <c r="AG534" s="36"/>
      <c r="AH534" s="36"/>
      <c r="AI534" s="36"/>
    </row>
    <row r="535" spans="1:35" s="62" customFormat="1" ht="13.5" customHeight="1" x14ac:dyDescent="0.25">
      <c r="A535" s="60"/>
      <c r="B535" s="60"/>
      <c r="C535" s="60"/>
      <c r="D535" s="60"/>
      <c r="E535" s="60"/>
      <c r="F535" s="60"/>
      <c r="G535" s="61"/>
      <c r="H535" s="60"/>
      <c r="I535" s="61"/>
      <c r="J535" s="60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6"/>
      <c r="AB535" s="36"/>
      <c r="AC535" s="36"/>
      <c r="AD535" s="36"/>
      <c r="AE535" s="36"/>
      <c r="AF535" s="36"/>
      <c r="AG535" s="36"/>
      <c r="AH535" s="36"/>
      <c r="AI535" s="36"/>
    </row>
    <row r="536" spans="1:35" s="62" customFormat="1" ht="13.5" customHeight="1" x14ac:dyDescent="0.25">
      <c r="A536" s="60"/>
      <c r="B536" s="60"/>
      <c r="C536" s="60"/>
      <c r="D536" s="60"/>
      <c r="E536" s="60"/>
      <c r="F536" s="60"/>
      <c r="G536" s="61"/>
      <c r="H536" s="60"/>
      <c r="I536" s="61"/>
      <c r="J536" s="60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6"/>
      <c r="AB536" s="36"/>
      <c r="AC536" s="36"/>
      <c r="AD536" s="36"/>
      <c r="AE536" s="36"/>
      <c r="AF536" s="36"/>
      <c r="AG536" s="36"/>
      <c r="AH536" s="36"/>
      <c r="AI536" s="36"/>
    </row>
    <row r="537" spans="1:35" s="62" customFormat="1" ht="13.5" customHeight="1" x14ac:dyDescent="0.25">
      <c r="A537" s="60"/>
      <c r="B537" s="60"/>
      <c r="C537" s="60"/>
      <c r="D537" s="60"/>
      <c r="E537" s="60"/>
      <c r="F537" s="60"/>
      <c r="G537" s="61"/>
      <c r="H537" s="60"/>
      <c r="I537" s="61"/>
      <c r="J537" s="60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6"/>
      <c r="AB537" s="36"/>
      <c r="AC537" s="36"/>
      <c r="AD537" s="36"/>
      <c r="AE537" s="36"/>
      <c r="AF537" s="36"/>
      <c r="AG537" s="36"/>
      <c r="AH537" s="36"/>
      <c r="AI537" s="36"/>
    </row>
    <row r="538" spans="1:35" s="62" customFormat="1" ht="13.5" customHeight="1" x14ac:dyDescent="0.25">
      <c r="A538" s="60"/>
      <c r="B538" s="60"/>
      <c r="C538" s="60"/>
      <c r="D538" s="60"/>
      <c r="E538" s="60"/>
      <c r="F538" s="60"/>
      <c r="G538" s="61"/>
      <c r="H538" s="60"/>
      <c r="I538" s="61"/>
      <c r="J538" s="60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6"/>
      <c r="AB538" s="36"/>
      <c r="AC538" s="36"/>
      <c r="AD538" s="36"/>
      <c r="AE538" s="36"/>
      <c r="AF538" s="36"/>
      <c r="AG538" s="36"/>
      <c r="AH538" s="36"/>
      <c r="AI538" s="36"/>
    </row>
    <row r="539" spans="1:35" s="62" customFormat="1" ht="13.5" customHeight="1" x14ac:dyDescent="0.25">
      <c r="A539" s="60"/>
      <c r="B539" s="60"/>
      <c r="C539" s="60"/>
      <c r="D539" s="60"/>
      <c r="E539" s="60"/>
      <c r="F539" s="60"/>
      <c r="G539" s="61"/>
      <c r="H539" s="60"/>
      <c r="I539" s="61"/>
      <c r="J539" s="60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6"/>
      <c r="AB539" s="36"/>
      <c r="AC539" s="36"/>
      <c r="AD539" s="36"/>
      <c r="AE539" s="36"/>
      <c r="AF539" s="36"/>
      <c r="AG539" s="36"/>
      <c r="AH539" s="36"/>
      <c r="AI539" s="36"/>
    </row>
    <row r="540" spans="1:35" s="62" customFormat="1" ht="13.5" customHeight="1" x14ac:dyDescent="0.25">
      <c r="A540" s="60"/>
      <c r="B540" s="60"/>
      <c r="C540" s="60"/>
      <c r="D540" s="60"/>
      <c r="E540" s="60"/>
      <c r="F540" s="60"/>
      <c r="G540" s="61"/>
      <c r="H540" s="60"/>
      <c r="I540" s="61"/>
      <c r="J540" s="60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6"/>
      <c r="AB540" s="36"/>
      <c r="AC540" s="36"/>
      <c r="AD540" s="36"/>
      <c r="AE540" s="36"/>
      <c r="AF540" s="36"/>
      <c r="AG540" s="36"/>
      <c r="AH540" s="36"/>
      <c r="AI540" s="36"/>
    </row>
    <row r="541" spans="1:35" s="62" customFormat="1" ht="13.5" customHeight="1" x14ac:dyDescent="0.25">
      <c r="A541" s="60"/>
      <c r="B541" s="60"/>
      <c r="C541" s="60"/>
      <c r="D541" s="60"/>
      <c r="E541" s="60"/>
      <c r="F541" s="60"/>
      <c r="G541" s="61"/>
      <c r="H541" s="60"/>
      <c r="I541" s="61"/>
      <c r="J541" s="60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6"/>
      <c r="AB541" s="36"/>
      <c r="AC541" s="36"/>
      <c r="AD541" s="36"/>
      <c r="AE541" s="36"/>
      <c r="AF541" s="36"/>
      <c r="AG541" s="36"/>
      <c r="AH541" s="36"/>
      <c r="AI541" s="36"/>
    </row>
    <row r="542" spans="1:35" s="62" customFormat="1" ht="13.5" customHeight="1" x14ac:dyDescent="0.25">
      <c r="A542" s="60"/>
      <c r="B542" s="60"/>
      <c r="C542" s="60"/>
      <c r="D542" s="60"/>
      <c r="E542" s="60"/>
      <c r="F542" s="60"/>
      <c r="G542" s="61"/>
      <c r="H542" s="60"/>
      <c r="I542" s="61"/>
      <c r="J542" s="60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6"/>
      <c r="AB542" s="36"/>
      <c r="AC542" s="36"/>
      <c r="AD542" s="36"/>
      <c r="AE542" s="36"/>
      <c r="AF542" s="36"/>
      <c r="AG542" s="36"/>
      <c r="AH542" s="36"/>
      <c r="AI542" s="36"/>
    </row>
    <row r="543" spans="1:35" s="62" customFormat="1" ht="13.5" customHeight="1" x14ac:dyDescent="0.25">
      <c r="A543" s="60"/>
      <c r="B543" s="60"/>
      <c r="C543" s="60"/>
      <c r="D543" s="60"/>
      <c r="E543" s="60"/>
      <c r="F543" s="60"/>
      <c r="G543" s="61"/>
      <c r="H543" s="60"/>
      <c r="I543" s="61"/>
      <c r="J543" s="60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6"/>
      <c r="AB543" s="36"/>
      <c r="AC543" s="36"/>
      <c r="AD543" s="36"/>
      <c r="AE543" s="36"/>
      <c r="AF543" s="36"/>
      <c r="AG543" s="36"/>
      <c r="AH543" s="36"/>
      <c r="AI543" s="36"/>
    </row>
    <row r="544" spans="1:35" s="62" customFormat="1" ht="13.5" customHeight="1" x14ac:dyDescent="0.25">
      <c r="A544" s="60"/>
      <c r="B544" s="60"/>
      <c r="C544" s="60"/>
      <c r="D544" s="60"/>
      <c r="E544" s="60"/>
      <c r="F544" s="60"/>
      <c r="G544" s="61"/>
      <c r="H544" s="60"/>
      <c r="I544" s="61"/>
      <c r="J544" s="60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6"/>
      <c r="AB544" s="36"/>
      <c r="AC544" s="36"/>
      <c r="AD544" s="36"/>
      <c r="AE544" s="36"/>
      <c r="AF544" s="36"/>
      <c r="AG544" s="36"/>
      <c r="AH544" s="36"/>
      <c r="AI544" s="36"/>
    </row>
    <row r="545" spans="1:35" s="62" customFormat="1" ht="13.5" customHeight="1" x14ac:dyDescent="0.25">
      <c r="A545" s="60"/>
      <c r="B545" s="60"/>
      <c r="C545" s="60"/>
      <c r="D545" s="60"/>
      <c r="E545" s="60"/>
      <c r="F545" s="60"/>
      <c r="G545" s="61"/>
      <c r="H545" s="60"/>
      <c r="I545" s="61"/>
      <c r="J545" s="60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6"/>
      <c r="AB545" s="36"/>
      <c r="AC545" s="36"/>
      <c r="AD545" s="36"/>
      <c r="AE545" s="36"/>
      <c r="AF545" s="36"/>
      <c r="AG545" s="36"/>
      <c r="AH545" s="36"/>
      <c r="AI545" s="36"/>
    </row>
    <row r="546" spans="1:35" s="62" customFormat="1" ht="13.5" customHeight="1" x14ac:dyDescent="0.25">
      <c r="A546" s="60"/>
      <c r="B546" s="60"/>
      <c r="C546" s="60"/>
      <c r="D546" s="60"/>
      <c r="E546" s="60"/>
      <c r="F546" s="60"/>
      <c r="G546" s="61"/>
      <c r="H546" s="60"/>
      <c r="I546" s="61"/>
      <c r="J546" s="60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6"/>
      <c r="AB546" s="36"/>
      <c r="AC546" s="36"/>
      <c r="AD546" s="36"/>
      <c r="AE546" s="36"/>
      <c r="AF546" s="36"/>
      <c r="AG546" s="36"/>
      <c r="AH546" s="36"/>
      <c r="AI546" s="36"/>
    </row>
    <row r="547" spans="1:35" s="62" customFormat="1" ht="13.5" customHeight="1" x14ac:dyDescent="0.25">
      <c r="A547" s="60"/>
      <c r="B547" s="60"/>
      <c r="C547" s="60"/>
      <c r="D547" s="60"/>
      <c r="E547" s="60"/>
      <c r="F547" s="60"/>
      <c r="G547" s="61"/>
      <c r="H547" s="60"/>
      <c r="I547" s="61"/>
      <c r="J547" s="60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6"/>
      <c r="AB547" s="36"/>
      <c r="AC547" s="36"/>
      <c r="AD547" s="36"/>
      <c r="AE547" s="36"/>
      <c r="AF547" s="36"/>
      <c r="AG547" s="36"/>
      <c r="AH547" s="36"/>
      <c r="AI547" s="36"/>
    </row>
    <row r="548" spans="1:35" s="62" customFormat="1" ht="13.5" customHeight="1" x14ac:dyDescent="0.25">
      <c r="A548" s="60"/>
      <c r="B548" s="60"/>
      <c r="C548" s="60"/>
      <c r="D548" s="60"/>
      <c r="E548" s="60"/>
      <c r="F548" s="60"/>
      <c r="G548" s="61"/>
      <c r="H548" s="60"/>
      <c r="I548" s="61"/>
      <c r="J548" s="60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6"/>
      <c r="AB548" s="36"/>
      <c r="AC548" s="36"/>
      <c r="AD548" s="36"/>
      <c r="AE548" s="36"/>
      <c r="AF548" s="36"/>
      <c r="AG548" s="36"/>
      <c r="AH548" s="36"/>
      <c r="AI548" s="36"/>
    </row>
    <row r="549" spans="1:35" s="62" customFormat="1" ht="13.5" customHeight="1" x14ac:dyDescent="0.25">
      <c r="A549" s="60"/>
      <c r="B549" s="60"/>
      <c r="C549" s="60"/>
      <c r="D549" s="60"/>
      <c r="E549" s="60"/>
      <c r="F549" s="60"/>
      <c r="G549" s="61"/>
      <c r="H549" s="60"/>
      <c r="I549" s="61"/>
      <c r="J549" s="60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6"/>
      <c r="AB549" s="36"/>
      <c r="AC549" s="36"/>
      <c r="AD549" s="36"/>
      <c r="AE549" s="36"/>
      <c r="AF549" s="36"/>
      <c r="AG549" s="36"/>
      <c r="AH549" s="36"/>
      <c r="AI549" s="36"/>
    </row>
    <row r="550" spans="1:35" s="62" customFormat="1" ht="13.5" customHeight="1" x14ac:dyDescent="0.25">
      <c r="A550" s="60"/>
      <c r="B550" s="60"/>
      <c r="C550" s="60"/>
      <c r="D550" s="60"/>
      <c r="E550" s="60"/>
      <c r="F550" s="60"/>
      <c r="G550" s="61"/>
      <c r="H550" s="60"/>
      <c r="I550" s="61"/>
      <c r="J550" s="60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6"/>
      <c r="AB550" s="36"/>
      <c r="AC550" s="36"/>
      <c r="AD550" s="36"/>
      <c r="AE550" s="36"/>
      <c r="AF550" s="36"/>
      <c r="AG550" s="36"/>
      <c r="AH550" s="36"/>
      <c r="AI550" s="36"/>
    </row>
    <row r="551" spans="1:35" s="62" customFormat="1" ht="13.5" customHeight="1" x14ac:dyDescent="0.25">
      <c r="A551" s="60"/>
      <c r="B551" s="60"/>
      <c r="C551" s="60"/>
      <c r="D551" s="60"/>
      <c r="E551" s="60"/>
      <c r="F551" s="60"/>
      <c r="G551" s="61"/>
      <c r="H551" s="60"/>
      <c r="I551" s="61"/>
      <c r="J551" s="60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6"/>
      <c r="AB551" s="36"/>
      <c r="AC551" s="36"/>
      <c r="AD551" s="36"/>
      <c r="AE551" s="36"/>
      <c r="AF551" s="36"/>
      <c r="AG551" s="36"/>
      <c r="AH551" s="36"/>
      <c r="AI551" s="36"/>
    </row>
    <row r="552" spans="1:35" s="62" customFormat="1" ht="13.5" customHeight="1" x14ac:dyDescent="0.25">
      <c r="A552" s="60"/>
      <c r="B552" s="60"/>
      <c r="C552" s="60"/>
      <c r="D552" s="60"/>
      <c r="E552" s="60"/>
      <c r="F552" s="60"/>
      <c r="G552" s="61"/>
      <c r="H552" s="60"/>
      <c r="I552" s="61"/>
      <c r="J552" s="60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6"/>
      <c r="AB552" s="36"/>
      <c r="AC552" s="36"/>
      <c r="AD552" s="36"/>
      <c r="AE552" s="36"/>
      <c r="AF552" s="36"/>
      <c r="AG552" s="36"/>
      <c r="AH552" s="36"/>
      <c r="AI552" s="36"/>
    </row>
    <row r="553" spans="1:35" s="62" customFormat="1" ht="13.5" customHeight="1" x14ac:dyDescent="0.25">
      <c r="A553" s="60"/>
      <c r="B553" s="60"/>
      <c r="C553" s="60"/>
      <c r="D553" s="60"/>
      <c r="E553" s="60"/>
      <c r="F553" s="60"/>
      <c r="G553" s="61"/>
      <c r="H553" s="60"/>
      <c r="I553" s="61"/>
      <c r="J553" s="60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6"/>
      <c r="AB553" s="36"/>
      <c r="AC553" s="36"/>
      <c r="AD553" s="36"/>
      <c r="AE553" s="36"/>
      <c r="AF553" s="36"/>
      <c r="AG553" s="36"/>
      <c r="AH553" s="36"/>
      <c r="AI553" s="36"/>
    </row>
    <row r="554" spans="1:35" s="62" customFormat="1" ht="13.5" customHeight="1" x14ac:dyDescent="0.25">
      <c r="A554" s="60"/>
      <c r="B554" s="60"/>
      <c r="C554" s="60"/>
      <c r="D554" s="60"/>
      <c r="E554" s="60"/>
      <c r="F554" s="60"/>
      <c r="G554" s="61"/>
      <c r="H554" s="60"/>
      <c r="I554" s="61"/>
      <c r="J554" s="60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6"/>
      <c r="AB554" s="36"/>
      <c r="AC554" s="36"/>
      <c r="AD554" s="36"/>
      <c r="AE554" s="36"/>
      <c r="AF554" s="36"/>
      <c r="AG554" s="36"/>
      <c r="AH554" s="36"/>
      <c r="AI554" s="36"/>
    </row>
    <row r="555" spans="1:35" s="62" customFormat="1" ht="13.5" customHeight="1" x14ac:dyDescent="0.25">
      <c r="A555" s="60"/>
      <c r="B555" s="60"/>
      <c r="C555" s="60"/>
      <c r="D555" s="60"/>
      <c r="E555" s="60"/>
      <c r="F555" s="60"/>
      <c r="G555" s="61"/>
      <c r="H555" s="60"/>
      <c r="I555" s="61"/>
      <c r="J555" s="60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6"/>
      <c r="AB555" s="36"/>
      <c r="AC555" s="36"/>
      <c r="AD555" s="36"/>
      <c r="AE555" s="36"/>
      <c r="AF555" s="36"/>
      <c r="AG555" s="36"/>
      <c r="AH555" s="36"/>
      <c r="AI555" s="36"/>
    </row>
    <row r="556" spans="1:35" s="62" customFormat="1" ht="13.5" customHeight="1" x14ac:dyDescent="0.25">
      <c r="A556" s="60"/>
      <c r="B556" s="60"/>
      <c r="C556" s="60"/>
      <c r="D556" s="60"/>
      <c r="E556" s="60"/>
      <c r="F556" s="60"/>
      <c r="G556" s="61"/>
      <c r="H556" s="60"/>
      <c r="I556" s="61"/>
      <c r="J556" s="60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6"/>
      <c r="AB556" s="36"/>
      <c r="AC556" s="36"/>
      <c r="AD556" s="36"/>
      <c r="AE556" s="36"/>
      <c r="AF556" s="36"/>
      <c r="AG556" s="36"/>
      <c r="AH556" s="36"/>
      <c r="AI556" s="36"/>
    </row>
    <row r="557" spans="1:35" s="62" customFormat="1" ht="13.5" customHeight="1" x14ac:dyDescent="0.25">
      <c r="A557" s="60"/>
      <c r="B557" s="60"/>
      <c r="C557" s="60"/>
      <c r="D557" s="60"/>
      <c r="E557" s="60"/>
      <c r="F557" s="60"/>
      <c r="G557" s="61"/>
      <c r="H557" s="60"/>
      <c r="I557" s="61"/>
      <c r="J557" s="60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6"/>
      <c r="AB557" s="36"/>
      <c r="AC557" s="36"/>
      <c r="AD557" s="36"/>
      <c r="AE557" s="36"/>
      <c r="AF557" s="36"/>
      <c r="AG557" s="36"/>
      <c r="AH557" s="36"/>
      <c r="AI557" s="36"/>
    </row>
    <row r="558" spans="1:35" s="62" customFormat="1" ht="13.5" customHeight="1" x14ac:dyDescent="0.25">
      <c r="A558" s="60"/>
      <c r="B558" s="60"/>
      <c r="C558" s="60"/>
      <c r="D558" s="60"/>
      <c r="E558" s="60"/>
      <c r="F558" s="60"/>
      <c r="G558" s="61"/>
      <c r="H558" s="60"/>
      <c r="I558" s="61"/>
      <c r="J558" s="60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6"/>
      <c r="AB558" s="36"/>
      <c r="AC558" s="36"/>
      <c r="AD558" s="36"/>
      <c r="AE558" s="36"/>
      <c r="AF558" s="36"/>
      <c r="AG558" s="36"/>
      <c r="AH558" s="36"/>
      <c r="AI558" s="36"/>
    </row>
    <row r="559" spans="1:35" s="62" customFormat="1" ht="13.5" customHeight="1" x14ac:dyDescent="0.25">
      <c r="A559" s="60"/>
      <c r="B559" s="60"/>
      <c r="C559" s="60"/>
      <c r="D559" s="60"/>
      <c r="E559" s="60"/>
      <c r="F559" s="60"/>
      <c r="G559" s="61"/>
      <c r="H559" s="60"/>
      <c r="I559" s="61"/>
      <c r="J559" s="60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6"/>
      <c r="AB559" s="36"/>
      <c r="AC559" s="36"/>
      <c r="AD559" s="36"/>
      <c r="AE559" s="36"/>
      <c r="AF559" s="36"/>
      <c r="AG559" s="36"/>
      <c r="AH559" s="36"/>
      <c r="AI559" s="36"/>
    </row>
    <row r="560" spans="1:35" s="62" customFormat="1" ht="13.5" customHeight="1" x14ac:dyDescent="0.25">
      <c r="A560" s="60"/>
      <c r="B560" s="60"/>
      <c r="C560" s="60"/>
      <c r="D560" s="60"/>
      <c r="E560" s="60"/>
      <c r="F560" s="60"/>
      <c r="G560" s="61"/>
      <c r="H560" s="60"/>
      <c r="I560" s="61"/>
      <c r="J560" s="60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6"/>
      <c r="AB560" s="36"/>
      <c r="AC560" s="36"/>
      <c r="AD560" s="36"/>
      <c r="AE560" s="36"/>
      <c r="AF560" s="36"/>
      <c r="AG560" s="36"/>
      <c r="AH560" s="36"/>
      <c r="AI560" s="36"/>
    </row>
    <row r="561" spans="1:35" s="62" customFormat="1" ht="13.5" customHeight="1" x14ac:dyDescent="0.25">
      <c r="A561" s="60"/>
      <c r="B561" s="60"/>
      <c r="C561" s="60"/>
      <c r="D561" s="60"/>
      <c r="E561" s="60"/>
      <c r="F561" s="60"/>
      <c r="G561" s="61"/>
      <c r="H561" s="60"/>
      <c r="I561" s="61"/>
      <c r="J561" s="60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6"/>
      <c r="AB561" s="36"/>
      <c r="AC561" s="36"/>
      <c r="AD561" s="36"/>
      <c r="AE561" s="36"/>
      <c r="AF561" s="36"/>
      <c r="AG561" s="36"/>
      <c r="AH561" s="36"/>
      <c r="AI561" s="36"/>
    </row>
    <row r="562" spans="1:35" s="62" customFormat="1" ht="13.5" customHeight="1" x14ac:dyDescent="0.25">
      <c r="A562" s="60"/>
      <c r="B562" s="60"/>
      <c r="C562" s="60"/>
      <c r="D562" s="60"/>
      <c r="E562" s="60"/>
      <c r="F562" s="60"/>
      <c r="G562" s="61"/>
      <c r="H562" s="60"/>
      <c r="I562" s="61"/>
      <c r="J562" s="60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6"/>
      <c r="AB562" s="36"/>
      <c r="AC562" s="36"/>
      <c r="AD562" s="36"/>
      <c r="AE562" s="36"/>
      <c r="AF562" s="36"/>
      <c r="AG562" s="36"/>
      <c r="AH562" s="36"/>
      <c r="AI562" s="36"/>
    </row>
    <row r="563" spans="1:35" s="62" customFormat="1" ht="13.5" customHeight="1" x14ac:dyDescent="0.25">
      <c r="A563" s="60"/>
      <c r="B563" s="60"/>
      <c r="C563" s="60"/>
      <c r="D563" s="60"/>
      <c r="E563" s="60"/>
      <c r="F563" s="60"/>
      <c r="G563" s="61"/>
      <c r="H563" s="60"/>
      <c r="I563" s="61"/>
      <c r="J563" s="60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6"/>
      <c r="AB563" s="36"/>
      <c r="AC563" s="36"/>
      <c r="AD563" s="36"/>
      <c r="AE563" s="36"/>
      <c r="AF563" s="36"/>
      <c r="AG563" s="36"/>
      <c r="AH563" s="36"/>
      <c r="AI563" s="36"/>
    </row>
    <row r="564" spans="1:35" s="62" customFormat="1" ht="13.5" customHeight="1" x14ac:dyDescent="0.25">
      <c r="A564" s="60"/>
      <c r="B564" s="60"/>
      <c r="C564" s="60"/>
      <c r="D564" s="60"/>
      <c r="E564" s="60"/>
      <c r="F564" s="60"/>
      <c r="G564" s="61"/>
      <c r="H564" s="60"/>
      <c r="I564" s="61"/>
      <c r="J564" s="60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6"/>
      <c r="AB564" s="36"/>
      <c r="AC564" s="36"/>
      <c r="AD564" s="36"/>
      <c r="AE564" s="36"/>
      <c r="AF564" s="36"/>
      <c r="AG564" s="36"/>
      <c r="AH564" s="36"/>
      <c r="AI564" s="36"/>
    </row>
    <row r="565" spans="1:35" s="62" customFormat="1" ht="13.5" customHeight="1" x14ac:dyDescent="0.25">
      <c r="A565" s="60"/>
      <c r="B565" s="60"/>
      <c r="C565" s="60"/>
      <c r="D565" s="60"/>
      <c r="E565" s="60"/>
      <c r="F565" s="60"/>
      <c r="G565" s="61"/>
      <c r="H565" s="60"/>
      <c r="I565" s="61"/>
      <c r="J565" s="60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6"/>
      <c r="AB565" s="36"/>
      <c r="AC565" s="36"/>
      <c r="AD565" s="36"/>
      <c r="AE565" s="36"/>
      <c r="AF565" s="36"/>
      <c r="AG565" s="36"/>
      <c r="AH565" s="36"/>
      <c r="AI565" s="36"/>
    </row>
    <row r="566" spans="1:35" s="62" customFormat="1" ht="13.5" customHeight="1" x14ac:dyDescent="0.25">
      <c r="A566" s="60"/>
      <c r="B566" s="60"/>
      <c r="C566" s="60"/>
      <c r="D566" s="60"/>
      <c r="E566" s="60"/>
      <c r="F566" s="60"/>
      <c r="G566" s="61"/>
      <c r="H566" s="60"/>
      <c r="I566" s="61"/>
      <c r="J566" s="60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6"/>
      <c r="AB566" s="36"/>
      <c r="AC566" s="36"/>
      <c r="AD566" s="36"/>
      <c r="AE566" s="36"/>
      <c r="AF566" s="36"/>
      <c r="AG566" s="36"/>
      <c r="AH566" s="36"/>
      <c r="AI566" s="36"/>
    </row>
    <row r="567" spans="1:35" s="62" customFormat="1" ht="13.5" customHeight="1" x14ac:dyDescent="0.25">
      <c r="A567" s="60"/>
      <c r="B567" s="60"/>
      <c r="C567" s="60"/>
      <c r="D567" s="60"/>
      <c r="E567" s="60"/>
      <c r="F567" s="60"/>
      <c r="G567" s="61"/>
      <c r="H567" s="60"/>
      <c r="I567" s="61"/>
      <c r="J567" s="60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6"/>
      <c r="AB567" s="36"/>
      <c r="AC567" s="36"/>
      <c r="AD567" s="36"/>
      <c r="AE567" s="36"/>
      <c r="AF567" s="36"/>
      <c r="AG567" s="36"/>
      <c r="AH567" s="36"/>
      <c r="AI567" s="36"/>
    </row>
    <row r="568" spans="1:35" s="62" customFormat="1" ht="13.5" customHeight="1" x14ac:dyDescent="0.25">
      <c r="A568" s="60"/>
      <c r="B568" s="60"/>
      <c r="C568" s="60"/>
      <c r="D568" s="60"/>
      <c r="E568" s="60"/>
      <c r="F568" s="60"/>
      <c r="G568" s="61"/>
      <c r="H568" s="60"/>
      <c r="I568" s="61"/>
      <c r="J568" s="60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6"/>
      <c r="AB568" s="36"/>
      <c r="AC568" s="36"/>
      <c r="AD568" s="36"/>
      <c r="AE568" s="36"/>
      <c r="AF568" s="36"/>
      <c r="AG568" s="36"/>
      <c r="AH568" s="36"/>
      <c r="AI568" s="36"/>
    </row>
    <row r="569" spans="1:35" s="62" customFormat="1" ht="13.5" customHeight="1" x14ac:dyDescent="0.25">
      <c r="A569" s="60"/>
      <c r="B569" s="60"/>
      <c r="C569" s="60"/>
      <c r="D569" s="60"/>
      <c r="E569" s="60"/>
      <c r="F569" s="60"/>
      <c r="G569" s="61"/>
      <c r="H569" s="60"/>
      <c r="I569" s="61"/>
      <c r="J569" s="60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6"/>
      <c r="AB569" s="36"/>
      <c r="AC569" s="36"/>
      <c r="AD569" s="36"/>
      <c r="AE569" s="36"/>
      <c r="AF569" s="36"/>
      <c r="AG569" s="36"/>
      <c r="AH569" s="36"/>
      <c r="AI569" s="36"/>
    </row>
    <row r="570" spans="1:35" s="62" customFormat="1" ht="13.5" customHeight="1" x14ac:dyDescent="0.25">
      <c r="A570" s="60"/>
      <c r="B570" s="60"/>
      <c r="C570" s="60"/>
      <c r="D570" s="60"/>
      <c r="E570" s="60"/>
      <c r="F570" s="60"/>
      <c r="G570" s="61"/>
      <c r="H570" s="60"/>
      <c r="I570" s="61"/>
      <c r="J570" s="60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6"/>
      <c r="AB570" s="36"/>
      <c r="AC570" s="36"/>
      <c r="AD570" s="36"/>
      <c r="AE570" s="36"/>
      <c r="AF570" s="36"/>
      <c r="AG570" s="36"/>
      <c r="AH570" s="36"/>
      <c r="AI570" s="36"/>
    </row>
    <row r="571" spans="1:35" s="62" customFormat="1" ht="13.5" customHeight="1" x14ac:dyDescent="0.25">
      <c r="A571" s="60"/>
      <c r="B571" s="60"/>
      <c r="C571" s="60"/>
      <c r="D571" s="60"/>
      <c r="E571" s="60"/>
      <c r="F571" s="60"/>
      <c r="G571" s="61"/>
      <c r="H571" s="60"/>
      <c r="I571" s="61"/>
      <c r="J571" s="60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6"/>
      <c r="AB571" s="36"/>
      <c r="AC571" s="36"/>
      <c r="AD571" s="36"/>
      <c r="AE571" s="36"/>
      <c r="AF571" s="36"/>
      <c r="AG571" s="36"/>
      <c r="AH571" s="36"/>
      <c r="AI571" s="36"/>
    </row>
    <row r="572" spans="1:35" s="62" customFormat="1" ht="13.5" customHeight="1" x14ac:dyDescent="0.25">
      <c r="A572" s="60"/>
      <c r="B572" s="60"/>
      <c r="C572" s="60"/>
      <c r="D572" s="60"/>
      <c r="E572" s="60"/>
      <c r="F572" s="60"/>
      <c r="G572" s="61"/>
      <c r="H572" s="60"/>
      <c r="I572" s="61"/>
      <c r="J572" s="60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6"/>
      <c r="AB572" s="36"/>
      <c r="AC572" s="36"/>
      <c r="AD572" s="36"/>
      <c r="AE572" s="36"/>
      <c r="AF572" s="36"/>
      <c r="AG572" s="36"/>
      <c r="AH572" s="36"/>
      <c r="AI572" s="36"/>
    </row>
    <row r="573" spans="1:35" s="62" customFormat="1" ht="13.5" customHeight="1" x14ac:dyDescent="0.25">
      <c r="A573" s="60"/>
      <c r="B573" s="60"/>
      <c r="C573" s="60"/>
      <c r="D573" s="60"/>
      <c r="E573" s="60"/>
      <c r="F573" s="60"/>
      <c r="G573" s="61"/>
      <c r="H573" s="60"/>
      <c r="I573" s="61"/>
      <c r="J573" s="60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6"/>
      <c r="AB573" s="36"/>
      <c r="AC573" s="36"/>
      <c r="AD573" s="36"/>
      <c r="AE573" s="36"/>
      <c r="AF573" s="36"/>
      <c r="AG573" s="36"/>
      <c r="AH573" s="36"/>
      <c r="AI573" s="36"/>
    </row>
    <row r="574" spans="1:35" s="62" customFormat="1" ht="13.5" customHeight="1" x14ac:dyDescent="0.25">
      <c r="A574" s="60"/>
      <c r="B574" s="60"/>
      <c r="C574" s="60"/>
      <c r="D574" s="60"/>
      <c r="E574" s="60"/>
      <c r="F574" s="60"/>
      <c r="G574" s="61"/>
      <c r="H574" s="60"/>
      <c r="I574" s="61"/>
      <c r="J574" s="60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6"/>
      <c r="AB574" s="36"/>
      <c r="AC574" s="36"/>
      <c r="AD574" s="36"/>
      <c r="AE574" s="36"/>
      <c r="AF574" s="36"/>
      <c r="AG574" s="36"/>
      <c r="AH574" s="36"/>
      <c r="AI574" s="36"/>
    </row>
    <row r="575" spans="1:35" s="62" customFormat="1" ht="13.5" customHeight="1" x14ac:dyDescent="0.25">
      <c r="A575" s="60"/>
      <c r="B575" s="60"/>
      <c r="C575" s="60"/>
      <c r="D575" s="60"/>
      <c r="E575" s="60"/>
      <c r="F575" s="60"/>
      <c r="G575" s="61"/>
      <c r="H575" s="60"/>
      <c r="I575" s="61"/>
      <c r="J575" s="60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6"/>
      <c r="AB575" s="36"/>
      <c r="AC575" s="36"/>
      <c r="AD575" s="36"/>
      <c r="AE575" s="36"/>
      <c r="AF575" s="36"/>
      <c r="AG575" s="36"/>
      <c r="AH575" s="36"/>
      <c r="AI575" s="36"/>
    </row>
    <row r="576" spans="1:35" s="62" customFormat="1" ht="13.5" customHeight="1" x14ac:dyDescent="0.25">
      <c r="A576" s="60"/>
      <c r="B576" s="60"/>
      <c r="C576" s="60"/>
      <c r="D576" s="60"/>
      <c r="E576" s="60"/>
      <c r="F576" s="60"/>
      <c r="G576" s="61"/>
      <c r="H576" s="60"/>
      <c r="I576" s="61"/>
      <c r="J576" s="60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6"/>
      <c r="AB576" s="36"/>
      <c r="AC576" s="36"/>
      <c r="AD576" s="36"/>
      <c r="AE576" s="36"/>
      <c r="AF576" s="36"/>
      <c r="AG576" s="36"/>
      <c r="AH576" s="36"/>
      <c r="AI576" s="36"/>
    </row>
    <row r="577" spans="1:35" s="62" customFormat="1" ht="13.5" customHeight="1" x14ac:dyDescent="0.25">
      <c r="A577" s="60"/>
      <c r="B577" s="60"/>
      <c r="C577" s="60"/>
      <c r="D577" s="60"/>
      <c r="E577" s="60"/>
      <c r="F577" s="60"/>
      <c r="G577" s="61"/>
      <c r="H577" s="60"/>
      <c r="I577" s="61"/>
      <c r="J577" s="60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6"/>
      <c r="AB577" s="36"/>
      <c r="AC577" s="36"/>
      <c r="AD577" s="36"/>
      <c r="AE577" s="36"/>
      <c r="AF577" s="36"/>
      <c r="AG577" s="36"/>
      <c r="AH577" s="36"/>
      <c r="AI577" s="36"/>
    </row>
    <row r="578" spans="1:35" s="62" customFormat="1" ht="13.5" customHeight="1" x14ac:dyDescent="0.25">
      <c r="A578" s="60"/>
      <c r="B578" s="60"/>
      <c r="C578" s="60"/>
      <c r="D578" s="60"/>
      <c r="E578" s="60"/>
      <c r="F578" s="60"/>
      <c r="G578" s="61"/>
      <c r="H578" s="60"/>
      <c r="I578" s="61"/>
      <c r="J578" s="60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6"/>
      <c r="AB578" s="36"/>
      <c r="AC578" s="36"/>
      <c r="AD578" s="36"/>
      <c r="AE578" s="36"/>
      <c r="AF578" s="36"/>
      <c r="AG578" s="36"/>
      <c r="AH578" s="36"/>
      <c r="AI578" s="36"/>
    </row>
    <row r="579" spans="1:35" s="62" customFormat="1" ht="13.5" customHeight="1" x14ac:dyDescent="0.25">
      <c r="A579" s="60"/>
      <c r="B579" s="60"/>
      <c r="C579" s="60"/>
      <c r="D579" s="60"/>
      <c r="E579" s="60"/>
      <c r="F579" s="60"/>
      <c r="G579" s="61"/>
      <c r="H579" s="60"/>
      <c r="I579" s="61"/>
      <c r="J579" s="60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6"/>
      <c r="AB579" s="36"/>
      <c r="AC579" s="36"/>
      <c r="AD579" s="36"/>
      <c r="AE579" s="36"/>
      <c r="AF579" s="36"/>
      <c r="AG579" s="36"/>
      <c r="AH579" s="36"/>
      <c r="AI579" s="36"/>
    </row>
    <row r="580" spans="1:35" s="62" customFormat="1" ht="13.5" customHeight="1" x14ac:dyDescent="0.25">
      <c r="A580" s="60"/>
      <c r="B580" s="60"/>
      <c r="C580" s="60"/>
      <c r="D580" s="60"/>
      <c r="E580" s="60"/>
      <c r="F580" s="60"/>
      <c r="G580" s="61"/>
      <c r="H580" s="60"/>
      <c r="I580" s="61"/>
      <c r="J580" s="60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6"/>
      <c r="AB580" s="36"/>
      <c r="AC580" s="36"/>
      <c r="AD580" s="36"/>
      <c r="AE580" s="36"/>
      <c r="AF580" s="36"/>
      <c r="AG580" s="36"/>
      <c r="AH580" s="36"/>
      <c r="AI580" s="36"/>
    </row>
    <row r="581" spans="1:35" s="62" customFormat="1" ht="13.5" customHeight="1" x14ac:dyDescent="0.25">
      <c r="A581" s="60"/>
      <c r="B581" s="60"/>
      <c r="C581" s="60"/>
      <c r="D581" s="60"/>
      <c r="E581" s="60"/>
      <c r="F581" s="60"/>
      <c r="G581" s="61"/>
      <c r="H581" s="60"/>
      <c r="I581" s="61"/>
      <c r="J581" s="60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6"/>
      <c r="AB581" s="36"/>
      <c r="AC581" s="36"/>
      <c r="AD581" s="36"/>
      <c r="AE581" s="36"/>
      <c r="AF581" s="36"/>
      <c r="AG581" s="36"/>
      <c r="AH581" s="36"/>
      <c r="AI581" s="36"/>
    </row>
    <row r="582" spans="1:35" s="62" customFormat="1" ht="13.5" customHeight="1" x14ac:dyDescent="0.25">
      <c r="A582" s="60"/>
      <c r="B582" s="60"/>
      <c r="C582" s="60"/>
      <c r="D582" s="60"/>
      <c r="E582" s="60"/>
      <c r="F582" s="60"/>
      <c r="G582" s="61"/>
      <c r="H582" s="60"/>
      <c r="I582" s="61"/>
      <c r="J582" s="60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6"/>
      <c r="AB582" s="36"/>
      <c r="AC582" s="36"/>
      <c r="AD582" s="36"/>
      <c r="AE582" s="36"/>
      <c r="AF582" s="36"/>
      <c r="AG582" s="36"/>
      <c r="AH582" s="36"/>
      <c r="AI582" s="36"/>
    </row>
    <row r="583" spans="1:35" s="62" customFormat="1" ht="13.5" customHeight="1" x14ac:dyDescent="0.25">
      <c r="A583" s="60"/>
      <c r="B583" s="60"/>
      <c r="C583" s="60"/>
      <c r="D583" s="60"/>
      <c r="E583" s="60"/>
      <c r="F583" s="60"/>
      <c r="G583" s="61"/>
      <c r="H583" s="60"/>
      <c r="I583" s="61"/>
      <c r="J583" s="60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6"/>
      <c r="AB583" s="36"/>
      <c r="AC583" s="36"/>
      <c r="AD583" s="36"/>
      <c r="AE583" s="36"/>
      <c r="AF583" s="36"/>
      <c r="AG583" s="36"/>
      <c r="AH583" s="36"/>
      <c r="AI583" s="36"/>
    </row>
    <row r="584" spans="1:35" s="62" customFormat="1" ht="13.5" customHeight="1" x14ac:dyDescent="0.25">
      <c r="A584" s="60"/>
      <c r="B584" s="60"/>
      <c r="C584" s="60"/>
      <c r="D584" s="60"/>
      <c r="E584" s="60"/>
      <c r="F584" s="60"/>
      <c r="G584" s="61"/>
      <c r="H584" s="60"/>
      <c r="I584" s="61"/>
      <c r="J584" s="60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6"/>
      <c r="AB584" s="36"/>
      <c r="AC584" s="36"/>
      <c r="AD584" s="36"/>
      <c r="AE584" s="36"/>
      <c r="AF584" s="36"/>
      <c r="AG584" s="36"/>
      <c r="AH584" s="36"/>
      <c r="AI584" s="36"/>
    </row>
    <row r="585" spans="1:35" s="62" customFormat="1" ht="13.5" customHeight="1" x14ac:dyDescent="0.25">
      <c r="A585" s="60"/>
      <c r="B585" s="60"/>
      <c r="C585" s="60"/>
      <c r="D585" s="60"/>
      <c r="E585" s="60"/>
      <c r="F585" s="60"/>
      <c r="G585" s="61"/>
      <c r="H585" s="60"/>
      <c r="I585" s="61"/>
      <c r="J585" s="60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6"/>
      <c r="AB585" s="36"/>
      <c r="AC585" s="36"/>
      <c r="AD585" s="36"/>
      <c r="AE585" s="36"/>
      <c r="AF585" s="36"/>
      <c r="AG585" s="36"/>
      <c r="AH585" s="36"/>
      <c r="AI585" s="36"/>
    </row>
    <row r="586" spans="1:35" s="62" customFormat="1" ht="13.5" customHeight="1" x14ac:dyDescent="0.25">
      <c r="A586" s="60"/>
      <c r="B586" s="60"/>
      <c r="C586" s="60"/>
      <c r="D586" s="60"/>
      <c r="E586" s="60"/>
      <c r="F586" s="60"/>
      <c r="G586" s="61"/>
      <c r="H586" s="60"/>
      <c r="I586" s="61"/>
      <c r="J586" s="60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6"/>
      <c r="AB586" s="36"/>
      <c r="AC586" s="36"/>
      <c r="AD586" s="36"/>
      <c r="AE586" s="36"/>
      <c r="AF586" s="36"/>
      <c r="AG586" s="36"/>
      <c r="AH586" s="36"/>
      <c r="AI586" s="36"/>
    </row>
    <row r="587" spans="1:35" s="62" customFormat="1" ht="13.5" customHeight="1" x14ac:dyDescent="0.25">
      <c r="A587" s="60"/>
      <c r="B587" s="60"/>
      <c r="C587" s="60"/>
      <c r="D587" s="60"/>
      <c r="E587" s="60"/>
      <c r="F587" s="60"/>
      <c r="G587" s="61"/>
      <c r="H587" s="60"/>
      <c r="I587" s="61"/>
      <c r="J587" s="60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6"/>
      <c r="AB587" s="36"/>
      <c r="AC587" s="36"/>
      <c r="AD587" s="36"/>
      <c r="AE587" s="36"/>
      <c r="AF587" s="36"/>
      <c r="AG587" s="36"/>
      <c r="AH587" s="36"/>
      <c r="AI587" s="36"/>
    </row>
    <row r="588" spans="1:35" s="62" customFormat="1" ht="13.5" customHeight="1" x14ac:dyDescent="0.25">
      <c r="A588" s="60"/>
      <c r="B588" s="60"/>
      <c r="C588" s="60"/>
      <c r="D588" s="60"/>
      <c r="E588" s="60"/>
      <c r="F588" s="60"/>
      <c r="G588" s="61"/>
      <c r="H588" s="60"/>
      <c r="I588" s="61"/>
      <c r="J588" s="60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6"/>
      <c r="AB588" s="36"/>
      <c r="AC588" s="36"/>
      <c r="AD588" s="36"/>
      <c r="AE588" s="36"/>
      <c r="AF588" s="36"/>
      <c r="AG588" s="36"/>
      <c r="AH588" s="36"/>
      <c r="AI588" s="36"/>
    </row>
    <row r="589" spans="1:35" s="62" customFormat="1" ht="13.5" customHeight="1" x14ac:dyDescent="0.25">
      <c r="A589" s="60"/>
      <c r="B589" s="60"/>
      <c r="C589" s="60"/>
      <c r="D589" s="60"/>
      <c r="E589" s="60"/>
      <c r="F589" s="60"/>
      <c r="G589" s="61"/>
      <c r="H589" s="60"/>
      <c r="I589" s="61"/>
      <c r="J589" s="60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6"/>
      <c r="AB589" s="36"/>
      <c r="AC589" s="36"/>
      <c r="AD589" s="36"/>
      <c r="AE589" s="36"/>
      <c r="AF589" s="36"/>
      <c r="AG589" s="36"/>
      <c r="AH589" s="36"/>
      <c r="AI589" s="36"/>
    </row>
    <row r="590" spans="1:35" s="62" customFormat="1" ht="13.5" customHeight="1" x14ac:dyDescent="0.25">
      <c r="A590" s="60"/>
      <c r="B590" s="60"/>
      <c r="C590" s="60"/>
      <c r="D590" s="60"/>
      <c r="E590" s="60"/>
      <c r="F590" s="60"/>
      <c r="G590" s="61"/>
      <c r="H590" s="60"/>
      <c r="I590" s="61"/>
      <c r="J590" s="60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6"/>
      <c r="AB590" s="36"/>
      <c r="AC590" s="36"/>
      <c r="AD590" s="36"/>
      <c r="AE590" s="36"/>
      <c r="AF590" s="36"/>
      <c r="AG590" s="36"/>
      <c r="AH590" s="36"/>
      <c r="AI590" s="36"/>
    </row>
    <row r="591" spans="1:35" s="62" customFormat="1" ht="13.5" customHeight="1" x14ac:dyDescent="0.25">
      <c r="A591" s="60"/>
      <c r="B591" s="60"/>
      <c r="C591" s="60"/>
      <c r="D591" s="60"/>
      <c r="E591" s="60"/>
      <c r="F591" s="60"/>
      <c r="G591" s="61"/>
      <c r="H591" s="60"/>
      <c r="I591" s="61"/>
      <c r="J591" s="60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6"/>
      <c r="AB591" s="36"/>
      <c r="AC591" s="36"/>
      <c r="AD591" s="36"/>
      <c r="AE591" s="36"/>
      <c r="AF591" s="36"/>
      <c r="AG591" s="36"/>
      <c r="AH591" s="36"/>
      <c r="AI591" s="36"/>
    </row>
    <row r="592" spans="1:35" s="62" customFormat="1" ht="13.5" customHeight="1" x14ac:dyDescent="0.25">
      <c r="A592" s="60"/>
      <c r="B592" s="60"/>
      <c r="C592" s="60"/>
      <c r="D592" s="60"/>
      <c r="E592" s="60"/>
      <c r="F592" s="60"/>
      <c r="G592" s="61"/>
      <c r="H592" s="60"/>
      <c r="I592" s="61"/>
      <c r="J592" s="60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6"/>
      <c r="AB592" s="36"/>
      <c r="AC592" s="36"/>
      <c r="AD592" s="36"/>
      <c r="AE592" s="36"/>
      <c r="AF592" s="36"/>
      <c r="AG592" s="36"/>
      <c r="AH592" s="36"/>
      <c r="AI592" s="36"/>
    </row>
    <row r="593" spans="1:35" s="62" customFormat="1" ht="13.5" customHeight="1" x14ac:dyDescent="0.25">
      <c r="A593" s="60"/>
      <c r="B593" s="60"/>
      <c r="C593" s="60"/>
      <c r="D593" s="60"/>
      <c r="E593" s="60"/>
      <c r="F593" s="60"/>
      <c r="G593" s="61"/>
      <c r="H593" s="60"/>
      <c r="I593" s="61"/>
      <c r="J593" s="60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6"/>
      <c r="AB593" s="36"/>
      <c r="AC593" s="36"/>
      <c r="AD593" s="36"/>
      <c r="AE593" s="36"/>
      <c r="AF593" s="36"/>
      <c r="AG593" s="36"/>
      <c r="AH593" s="36"/>
      <c r="AI593" s="36"/>
    </row>
    <row r="594" spans="1:35" s="62" customFormat="1" ht="13.5" customHeight="1" x14ac:dyDescent="0.25">
      <c r="A594" s="60"/>
      <c r="B594" s="60"/>
      <c r="C594" s="60"/>
      <c r="D594" s="60"/>
      <c r="E594" s="60"/>
      <c r="F594" s="60"/>
      <c r="G594" s="61"/>
      <c r="H594" s="60"/>
      <c r="I594" s="61"/>
      <c r="J594" s="60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6"/>
      <c r="AB594" s="36"/>
      <c r="AC594" s="36"/>
      <c r="AD594" s="36"/>
      <c r="AE594" s="36"/>
      <c r="AF594" s="36"/>
      <c r="AG594" s="36"/>
      <c r="AH594" s="36"/>
      <c r="AI594" s="36"/>
    </row>
    <row r="595" spans="1:35" s="62" customFormat="1" ht="13.5" customHeight="1" x14ac:dyDescent="0.25">
      <c r="A595" s="60"/>
      <c r="B595" s="60"/>
      <c r="C595" s="60"/>
      <c r="D595" s="60"/>
      <c r="E595" s="60"/>
      <c r="F595" s="60"/>
      <c r="G595" s="61"/>
      <c r="H595" s="60"/>
      <c r="I595" s="61"/>
      <c r="J595" s="60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6"/>
      <c r="AB595" s="36"/>
      <c r="AC595" s="36"/>
      <c r="AD595" s="36"/>
      <c r="AE595" s="36"/>
      <c r="AF595" s="36"/>
      <c r="AG595" s="36"/>
      <c r="AH595" s="36"/>
      <c r="AI595" s="36"/>
    </row>
    <row r="596" spans="1:35" s="62" customFormat="1" ht="13.5" customHeight="1" x14ac:dyDescent="0.25">
      <c r="A596" s="60"/>
      <c r="B596" s="60"/>
      <c r="C596" s="60"/>
      <c r="D596" s="60"/>
      <c r="E596" s="60"/>
      <c r="F596" s="60"/>
      <c r="G596" s="61"/>
      <c r="H596" s="60"/>
      <c r="I596" s="61"/>
      <c r="J596" s="60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6"/>
      <c r="AB596" s="36"/>
      <c r="AC596" s="36"/>
      <c r="AD596" s="36"/>
      <c r="AE596" s="36"/>
      <c r="AF596" s="36"/>
      <c r="AG596" s="36"/>
      <c r="AH596" s="36"/>
      <c r="AI596" s="36"/>
    </row>
    <row r="597" spans="1:35" s="62" customFormat="1" ht="13.5" customHeight="1" x14ac:dyDescent="0.25">
      <c r="A597" s="60"/>
      <c r="B597" s="60"/>
      <c r="C597" s="60"/>
      <c r="D597" s="60"/>
      <c r="E597" s="60"/>
      <c r="F597" s="60"/>
      <c r="G597" s="61"/>
      <c r="H597" s="60"/>
      <c r="I597" s="61"/>
      <c r="J597" s="60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6"/>
      <c r="AB597" s="36"/>
      <c r="AC597" s="36"/>
      <c r="AD597" s="36"/>
      <c r="AE597" s="36"/>
      <c r="AF597" s="36"/>
      <c r="AG597" s="36"/>
      <c r="AH597" s="36"/>
      <c r="AI597" s="36"/>
    </row>
    <row r="598" spans="1:35" s="62" customFormat="1" ht="13.5" customHeight="1" x14ac:dyDescent="0.25">
      <c r="A598" s="60"/>
      <c r="B598" s="60"/>
      <c r="C598" s="60"/>
      <c r="D598" s="60"/>
      <c r="E598" s="60"/>
      <c r="F598" s="60"/>
      <c r="G598" s="61"/>
      <c r="H598" s="60"/>
      <c r="I598" s="61"/>
      <c r="J598" s="60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6"/>
      <c r="AB598" s="36"/>
      <c r="AC598" s="36"/>
      <c r="AD598" s="36"/>
      <c r="AE598" s="36"/>
      <c r="AF598" s="36"/>
      <c r="AG598" s="36"/>
      <c r="AH598" s="36"/>
      <c r="AI598" s="36"/>
    </row>
    <row r="599" spans="1:35" s="62" customFormat="1" ht="13.5" customHeight="1" x14ac:dyDescent="0.25">
      <c r="A599" s="60"/>
      <c r="B599" s="60"/>
      <c r="C599" s="60"/>
      <c r="D599" s="60"/>
      <c r="E599" s="60"/>
      <c r="F599" s="60"/>
      <c r="G599" s="61"/>
      <c r="H599" s="60"/>
      <c r="I599" s="61"/>
      <c r="J599" s="60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6"/>
      <c r="AB599" s="36"/>
      <c r="AC599" s="36"/>
      <c r="AD599" s="36"/>
      <c r="AE599" s="36"/>
      <c r="AF599" s="36"/>
      <c r="AG599" s="36"/>
      <c r="AH599" s="36"/>
      <c r="AI599" s="36"/>
    </row>
    <row r="600" spans="1:35" s="62" customFormat="1" ht="13.5" customHeight="1" x14ac:dyDescent="0.25">
      <c r="A600" s="60"/>
      <c r="B600" s="60"/>
      <c r="C600" s="60"/>
      <c r="D600" s="60"/>
      <c r="E600" s="60"/>
      <c r="F600" s="60"/>
      <c r="G600" s="61"/>
      <c r="H600" s="60"/>
      <c r="I600" s="61"/>
      <c r="J600" s="60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6"/>
      <c r="AB600" s="36"/>
      <c r="AC600" s="36"/>
      <c r="AD600" s="36"/>
      <c r="AE600" s="36"/>
      <c r="AF600" s="36"/>
      <c r="AG600" s="36"/>
      <c r="AH600" s="36"/>
      <c r="AI600" s="36"/>
    </row>
    <row r="601" spans="1:35" s="62" customFormat="1" ht="13.5" customHeight="1" x14ac:dyDescent="0.25">
      <c r="A601" s="60"/>
      <c r="B601" s="60"/>
      <c r="C601" s="60"/>
      <c r="D601" s="60"/>
      <c r="E601" s="60"/>
      <c r="F601" s="60"/>
      <c r="G601" s="61"/>
      <c r="H601" s="60"/>
      <c r="I601" s="61"/>
      <c r="J601" s="60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6"/>
      <c r="AB601" s="36"/>
      <c r="AC601" s="36"/>
      <c r="AD601" s="36"/>
      <c r="AE601" s="36"/>
      <c r="AF601" s="36"/>
      <c r="AG601" s="36"/>
      <c r="AH601" s="36"/>
      <c r="AI601" s="36"/>
    </row>
    <row r="602" spans="1:35" s="62" customFormat="1" ht="13.5" customHeight="1" x14ac:dyDescent="0.25">
      <c r="A602" s="60"/>
      <c r="B602" s="60"/>
      <c r="C602" s="60"/>
      <c r="D602" s="60"/>
      <c r="E602" s="60"/>
      <c r="F602" s="60"/>
      <c r="G602" s="61"/>
      <c r="H602" s="60"/>
      <c r="I602" s="61"/>
      <c r="J602" s="60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6"/>
      <c r="AB602" s="36"/>
      <c r="AC602" s="36"/>
      <c r="AD602" s="36"/>
      <c r="AE602" s="36"/>
      <c r="AF602" s="36"/>
      <c r="AG602" s="36"/>
      <c r="AH602" s="36"/>
      <c r="AI602" s="36"/>
    </row>
    <row r="603" spans="1:35" s="62" customFormat="1" ht="13.5" customHeight="1" x14ac:dyDescent="0.25">
      <c r="A603" s="60"/>
      <c r="B603" s="60"/>
      <c r="C603" s="60"/>
      <c r="D603" s="60"/>
      <c r="E603" s="60"/>
      <c r="F603" s="60"/>
      <c r="G603" s="61"/>
      <c r="H603" s="60"/>
      <c r="I603" s="61"/>
      <c r="J603" s="60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6"/>
      <c r="AB603" s="36"/>
      <c r="AC603" s="36"/>
      <c r="AD603" s="36"/>
      <c r="AE603" s="36"/>
      <c r="AF603" s="36"/>
      <c r="AG603" s="36"/>
      <c r="AH603" s="36"/>
      <c r="AI603" s="36"/>
    </row>
    <row r="604" spans="1:35" s="62" customFormat="1" ht="13.5" customHeight="1" x14ac:dyDescent="0.25">
      <c r="A604" s="60"/>
      <c r="B604" s="60"/>
      <c r="C604" s="60"/>
      <c r="D604" s="60"/>
      <c r="E604" s="60"/>
      <c r="F604" s="60"/>
      <c r="G604" s="61"/>
      <c r="H604" s="60"/>
      <c r="I604" s="61"/>
      <c r="J604" s="60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6"/>
      <c r="AB604" s="36"/>
      <c r="AC604" s="36"/>
      <c r="AD604" s="36"/>
      <c r="AE604" s="36"/>
      <c r="AF604" s="36"/>
      <c r="AG604" s="36"/>
      <c r="AH604" s="36"/>
      <c r="AI604" s="36"/>
    </row>
    <row r="605" spans="1:35" s="62" customFormat="1" ht="13.5" customHeight="1" x14ac:dyDescent="0.25">
      <c r="A605" s="60"/>
      <c r="B605" s="60"/>
      <c r="C605" s="60"/>
      <c r="D605" s="60"/>
      <c r="E605" s="60"/>
      <c r="F605" s="60"/>
      <c r="G605" s="61"/>
      <c r="H605" s="60"/>
      <c r="I605" s="61"/>
      <c r="J605" s="60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6"/>
      <c r="AB605" s="36"/>
      <c r="AC605" s="36"/>
      <c r="AD605" s="36"/>
      <c r="AE605" s="36"/>
      <c r="AF605" s="36"/>
      <c r="AG605" s="36"/>
      <c r="AH605" s="36"/>
      <c r="AI605" s="36"/>
    </row>
    <row r="606" spans="1:35" s="62" customFormat="1" ht="13.5" customHeight="1" x14ac:dyDescent="0.25">
      <c r="A606" s="60"/>
      <c r="B606" s="60"/>
      <c r="C606" s="60"/>
      <c r="D606" s="60"/>
      <c r="E606" s="60"/>
      <c r="F606" s="60"/>
      <c r="G606" s="61"/>
      <c r="H606" s="60"/>
      <c r="I606" s="61"/>
      <c r="J606" s="60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6"/>
      <c r="AB606" s="36"/>
      <c r="AC606" s="36"/>
      <c r="AD606" s="36"/>
      <c r="AE606" s="36"/>
      <c r="AF606" s="36"/>
      <c r="AG606" s="36"/>
      <c r="AH606" s="36"/>
      <c r="AI606" s="36"/>
    </row>
    <row r="607" spans="1:35" s="62" customFormat="1" ht="13.5" customHeight="1" x14ac:dyDescent="0.25">
      <c r="A607" s="60"/>
      <c r="B607" s="60"/>
      <c r="C607" s="60"/>
      <c r="D607" s="60"/>
      <c r="E607" s="60"/>
      <c r="F607" s="60"/>
      <c r="G607" s="61"/>
      <c r="H607" s="60"/>
      <c r="I607" s="61"/>
      <c r="J607" s="60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6"/>
      <c r="AB607" s="36"/>
      <c r="AC607" s="36"/>
      <c r="AD607" s="36"/>
      <c r="AE607" s="36"/>
      <c r="AF607" s="36"/>
      <c r="AG607" s="36"/>
      <c r="AH607" s="36"/>
      <c r="AI607" s="36"/>
    </row>
    <row r="608" spans="1:35" s="62" customFormat="1" ht="13.5" customHeight="1" x14ac:dyDescent="0.25">
      <c r="A608" s="60"/>
      <c r="B608" s="60"/>
      <c r="C608" s="60"/>
      <c r="D608" s="60"/>
      <c r="E608" s="60"/>
      <c r="F608" s="60"/>
      <c r="G608" s="61"/>
      <c r="H608" s="60"/>
      <c r="I608" s="61"/>
      <c r="J608" s="60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6"/>
      <c r="AB608" s="36"/>
      <c r="AC608" s="36"/>
      <c r="AD608" s="36"/>
      <c r="AE608" s="36"/>
      <c r="AF608" s="36"/>
      <c r="AG608" s="36"/>
      <c r="AH608" s="36"/>
      <c r="AI608" s="36"/>
    </row>
    <row r="609" spans="1:35" s="62" customFormat="1" ht="13.5" customHeight="1" x14ac:dyDescent="0.25">
      <c r="A609" s="60"/>
      <c r="B609" s="60"/>
      <c r="C609" s="60"/>
      <c r="D609" s="60"/>
      <c r="E609" s="60"/>
      <c r="F609" s="60"/>
      <c r="G609" s="61"/>
      <c r="H609" s="60"/>
      <c r="I609" s="61"/>
      <c r="J609" s="60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6"/>
      <c r="AB609" s="36"/>
      <c r="AC609" s="36"/>
      <c r="AD609" s="36"/>
      <c r="AE609" s="36"/>
      <c r="AF609" s="36"/>
      <c r="AG609" s="36"/>
      <c r="AH609" s="36"/>
      <c r="AI609" s="36"/>
    </row>
    <row r="610" spans="1:35" s="62" customFormat="1" ht="13.5" customHeight="1" x14ac:dyDescent="0.25">
      <c r="A610" s="60"/>
      <c r="B610" s="60"/>
      <c r="C610" s="60"/>
      <c r="D610" s="60"/>
      <c r="E610" s="60"/>
      <c r="F610" s="60"/>
      <c r="G610" s="61"/>
      <c r="H610" s="60"/>
      <c r="I610" s="61"/>
      <c r="J610" s="60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6"/>
      <c r="AB610" s="36"/>
      <c r="AC610" s="36"/>
      <c r="AD610" s="36"/>
      <c r="AE610" s="36"/>
      <c r="AF610" s="36"/>
      <c r="AG610" s="36"/>
      <c r="AH610" s="36"/>
      <c r="AI610" s="36"/>
    </row>
    <row r="611" spans="1:35" s="62" customFormat="1" ht="13.5" customHeight="1" x14ac:dyDescent="0.25">
      <c r="A611" s="60"/>
      <c r="B611" s="60"/>
      <c r="C611" s="60"/>
      <c r="D611" s="60"/>
      <c r="E611" s="60"/>
      <c r="F611" s="60"/>
      <c r="G611" s="61"/>
      <c r="H611" s="60"/>
      <c r="I611" s="61"/>
      <c r="J611" s="60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6"/>
      <c r="AB611" s="36"/>
      <c r="AC611" s="36"/>
      <c r="AD611" s="36"/>
      <c r="AE611" s="36"/>
      <c r="AF611" s="36"/>
      <c r="AG611" s="36"/>
      <c r="AH611" s="36"/>
      <c r="AI611" s="36"/>
    </row>
    <row r="612" spans="1:35" s="62" customFormat="1" ht="13.5" customHeight="1" x14ac:dyDescent="0.25">
      <c r="A612" s="60"/>
      <c r="B612" s="60"/>
      <c r="C612" s="60"/>
      <c r="D612" s="60"/>
      <c r="E612" s="60"/>
      <c r="F612" s="60"/>
      <c r="G612" s="61"/>
      <c r="H612" s="60"/>
      <c r="I612" s="61"/>
      <c r="J612" s="60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6"/>
      <c r="AB612" s="36"/>
      <c r="AC612" s="36"/>
      <c r="AD612" s="36"/>
      <c r="AE612" s="36"/>
      <c r="AF612" s="36"/>
      <c r="AG612" s="36"/>
      <c r="AH612" s="36"/>
      <c r="AI612" s="36"/>
    </row>
    <row r="613" spans="1:35" s="62" customFormat="1" ht="13.5" customHeight="1" x14ac:dyDescent="0.25">
      <c r="A613" s="60"/>
      <c r="B613" s="60"/>
      <c r="C613" s="60"/>
      <c r="D613" s="60"/>
      <c r="E613" s="60"/>
      <c r="F613" s="60"/>
      <c r="G613" s="61"/>
      <c r="H613" s="60"/>
      <c r="I613" s="61"/>
      <c r="J613" s="60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6"/>
      <c r="AB613" s="36"/>
      <c r="AC613" s="36"/>
      <c r="AD613" s="36"/>
      <c r="AE613" s="36"/>
      <c r="AF613" s="36"/>
      <c r="AG613" s="36"/>
      <c r="AH613" s="36"/>
      <c r="AI613" s="36"/>
    </row>
    <row r="614" spans="1:35" s="62" customFormat="1" ht="13.5" customHeight="1" x14ac:dyDescent="0.25">
      <c r="A614" s="60"/>
      <c r="B614" s="60"/>
      <c r="C614" s="60"/>
      <c r="D614" s="60"/>
      <c r="E614" s="60"/>
      <c r="F614" s="60"/>
      <c r="G614" s="61"/>
      <c r="H614" s="60"/>
      <c r="I614" s="61"/>
      <c r="J614" s="60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6"/>
      <c r="AB614" s="36"/>
      <c r="AC614" s="36"/>
      <c r="AD614" s="36"/>
      <c r="AE614" s="36"/>
      <c r="AF614" s="36"/>
      <c r="AG614" s="36"/>
      <c r="AH614" s="36"/>
      <c r="AI614" s="36"/>
    </row>
    <row r="615" spans="1:35" s="62" customFormat="1" ht="13.5" customHeight="1" x14ac:dyDescent="0.25">
      <c r="A615" s="60"/>
      <c r="B615" s="60"/>
      <c r="C615" s="60"/>
      <c r="D615" s="60"/>
      <c r="E615" s="60"/>
      <c r="F615" s="60"/>
      <c r="G615" s="61"/>
      <c r="H615" s="60"/>
      <c r="I615" s="61"/>
      <c r="J615" s="60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6"/>
      <c r="AB615" s="36"/>
      <c r="AC615" s="36"/>
      <c r="AD615" s="36"/>
      <c r="AE615" s="36"/>
      <c r="AF615" s="36"/>
      <c r="AG615" s="36"/>
      <c r="AH615" s="36"/>
      <c r="AI615" s="36"/>
    </row>
    <row r="616" spans="1:35" s="62" customFormat="1" ht="13.5" customHeight="1" x14ac:dyDescent="0.25">
      <c r="A616" s="60"/>
      <c r="B616" s="60"/>
      <c r="C616" s="60"/>
      <c r="D616" s="60"/>
      <c r="E616" s="60"/>
      <c r="F616" s="60"/>
      <c r="G616" s="61"/>
      <c r="H616" s="60"/>
      <c r="I616" s="61"/>
      <c r="J616" s="60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6"/>
      <c r="AB616" s="36"/>
      <c r="AC616" s="36"/>
      <c r="AD616" s="36"/>
      <c r="AE616" s="36"/>
      <c r="AF616" s="36"/>
      <c r="AG616" s="36"/>
      <c r="AH616" s="36"/>
      <c r="AI616" s="36"/>
    </row>
    <row r="617" spans="1:35" s="62" customFormat="1" ht="13.5" customHeight="1" x14ac:dyDescent="0.25">
      <c r="A617" s="60"/>
      <c r="B617" s="60"/>
      <c r="C617" s="60"/>
      <c r="D617" s="60"/>
      <c r="E617" s="60"/>
      <c r="F617" s="60"/>
      <c r="G617" s="61"/>
      <c r="H617" s="60"/>
      <c r="I617" s="61"/>
      <c r="J617" s="60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6"/>
      <c r="AB617" s="36"/>
      <c r="AC617" s="36"/>
      <c r="AD617" s="36"/>
      <c r="AE617" s="36"/>
      <c r="AF617" s="36"/>
      <c r="AG617" s="36"/>
      <c r="AH617" s="36"/>
      <c r="AI617" s="36"/>
    </row>
    <row r="618" spans="1:35" s="62" customFormat="1" ht="13.5" customHeight="1" x14ac:dyDescent="0.25">
      <c r="A618" s="60"/>
      <c r="B618" s="60"/>
      <c r="C618" s="60"/>
      <c r="D618" s="60"/>
      <c r="E618" s="60"/>
      <c r="F618" s="60"/>
      <c r="G618" s="61"/>
      <c r="H618" s="60"/>
      <c r="I618" s="61"/>
      <c r="J618" s="60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6"/>
      <c r="AB618" s="36"/>
      <c r="AC618" s="36"/>
      <c r="AD618" s="36"/>
      <c r="AE618" s="36"/>
      <c r="AF618" s="36"/>
      <c r="AG618" s="36"/>
      <c r="AH618" s="36"/>
      <c r="AI618" s="36"/>
    </row>
    <row r="619" spans="1:35" s="62" customFormat="1" ht="13.5" customHeight="1" x14ac:dyDescent="0.25">
      <c r="A619" s="60"/>
      <c r="B619" s="60"/>
      <c r="C619" s="60"/>
      <c r="D619" s="60"/>
      <c r="E619" s="60"/>
      <c r="F619" s="60"/>
      <c r="G619" s="61"/>
      <c r="H619" s="60"/>
      <c r="I619" s="61"/>
      <c r="J619" s="60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6"/>
      <c r="AB619" s="36"/>
      <c r="AC619" s="36"/>
      <c r="AD619" s="36"/>
      <c r="AE619" s="36"/>
      <c r="AF619" s="36"/>
      <c r="AG619" s="36"/>
      <c r="AH619" s="36"/>
      <c r="AI619" s="36"/>
    </row>
    <row r="620" spans="1:35" s="62" customFormat="1" ht="13.5" customHeight="1" x14ac:dyDescent="0.25">
      <c r="A620" s="60"/>
      <c r="B620" s="60"/>
      <c r="C620" s="60"/>
      <c r="D620" s="60"/>
      <c r="E620" s="60"/>
      <c r="F620" s="60"/>
      <c r="G620" s="61"/>
      <c r="H620" s="60"/>
      <c r="I620" s="61"/>
      <c r="J620" s="60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6"/>
      <c r="AB620" s="36"/>
      <c r="AC620" s="36"/>
      <c r="AD620" s="36"/>
      <c r="AE620" s="36"/>
      <c r="AF620" s="36"/>
      <c r="AG620" s="36"/>
      <c r="AH620" s="36"/>
      <c r="AI620" s="36"/>
    </row>
    <row r="621" spans="1:35" s="62" customFormat="1" ht="13.5" customHeight="1" x14ac:dyDescent="0.25">
      <c r="A621" s="60"/>
      <c r="B621" s="60"/>
      <c r="C621" s="60"/>
      <c r="D621" s="60"/>
      <c r="E621" s="60"/>
      <c r="F621" s="60"/>
      <c r="G621" s="61"/>
      <c r="H621" s="60"/>
      <c r="I621" s="61"/>
      <c r="J621" s="60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6"/>
      <c r="AB621" s="36"/>
      <c r="AC621" s="36"/>
      <c r="AD621" s="36"/>
      <c r="AE621" s="36"/>
      <c r="AF621" s="36"/>
      <c r="AG621" s="36"/>
      <c r="AH621" s="36"/>
      <c r="AI621" s="36"/>
    </row>
    <row r="622" spans="1:35" s="62" customFormat="1" ht="13.5" customHeight="1" x14ac:dyDescent="0.25">
      <c r="A622" s="60"/>
      <c r="B622" s="60"/>
      <c r="C622" s="60"/>
      <c r="D622" s="60"/>
      <c r="E622" s="60"/>
      <c r="F622" s="60"/>
      <c r="G622" s="61"/>
      <c r="H622" s="60"/>
      <c r="I622" s="61"/>
      <c r="J622" s="60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6"/>
      <c r="AB622" s="36"/>
      <c r="AC622" s="36"/>
      <c r="AD622" s="36"/>
      <c r="AE622" s="36"/>
      <c r="AF622" s="36"/>
      <c r="AG622" s="36"/>
      <c r="AH622" s="36"/>
      <c r="AI622" s="36"/>
    </row>
    <row r="623" spans="1:35" s="62" customFormat="1" ht="13.5" customHeight="1" x14ac:dyDescent="0.25">
      <c r="A623" s="60"/>
      <c r="B623" s="60"/>
      <c r="C623" s="60"/>
      <c r="D623" s="60"/>
      <c r="E623" s="60"/>
      <c r="F623" s="60"/>
      <c r="G623" s="61"/>
      <c r="H623" s="60"/>
      <c r="I623" s="61"/>
      <c r="J623" s="60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6"/>
      <c r="AB623" s="36"/>
      <c r="AC623" s="36"/>
      <c r="AD623" s="36"/>
      <c r="AE623" s="36"/>
      <c r="AF623" s="36"/>
      <c r="AG623" s="36"/>
      <c r="AH623" s="36"/>
      <c r="AI623" s="36"/>
    </row>
    <row r="624" spans="1:35" s="62" customFormat="1" ht="13.5" customHeight="1" x14ac:dyDescent="0.25">
      <c r="A624" s="60"/>
      <c r="B624" s="60"/>
      <c r="C624" s="60"/>
      <c r="D624" s="60"/>
      <c r="E624" s="60"/>
      <c r="F624" s="60"/>
      <c r="G624" s="61"/>
      <c r="H624" s="60"/>
      <c r="I624" s="61"/>
      <c r="J624" s="60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6"/>
      <c r="AB624" s="36"/>
      <c r="AC624" s="36"/>
      <c r="AD624" s="36"/>
      <c r="AE624" s="36"/>
      <c r="AF624" s="36"/>
      <c r="AG624" s="36"/>
      <c r="AH624" s="36"/>
      <c r="AI624" s="36"/>
    </row>
    <row r="625" spans="1:35" s="62" customFormat="1" ht="13.5" customHeight="1" x14ac:dyDescent="0.25">
      <c r="A625" s="60"/>
      <c r="B625" s="60"/>
      <c r="C625" s="60"/>
      <c r="D625" s="60"/>
      <c r="E625" s="60"/>
      <c r="F625" s="60"/>
      <c r="G625" s="61"/>
      <c r="H625" s="60"/>
      <c r="I625" s="61"/>
      <c r="J625" s="60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6"/>
      <c r="AB625" s="36"/>
      <c r="AC625" s="36"/>
      <c r="AD625" s="36"/>
      <c r="AE625" s="36"/>
      <c r="AF625" s="36"/>
      <c r="AG625" s="36"/>
      <c r="AH625" s="36"/>
      <c r="AI625" s="36"/>
    </row>
    <row r="626" spans="1:35" s="62" customFormat="1" ht="13.5" customHeight="1" x14ac:dyDescent="0.25">
      <c r="A626" s="60"/>
      <c r="B626" s="60"/>
      <c r="C626" s="60"/>
      <c r="D626" s="60"/>
      <c r="E626" s="60"/>
      <c r="F626" s="60"/>
      <c r="G626" s="61"/>
      <c r="H626" s="60"/>
      <c r="I626" s="61"/>
      <c r="J626" s="60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6"/>
      <c r="AB626" s="36"/>
      <c r="AC626" s="36"/>
      <c r="AD626" s="36"/>
      <c r="AE626" s="36"/>
      <c r="AF626" s="36"/>
      <c r="AG626" s="36"/>
      <c r="AH626" s="36"/>
      <c r="AI626" s="36"/>
    </row>
    <row r="627" spans="1:35" s="62" customFormat="1" ht="13.5" customHeight="1" x14ac:dyDescent="0.25">
      <c r="A627" s="60"/>
      <c r="B627" s="60"/>
      <c r="C627" s="60"/>
      <c r="D627" s="60"/>
      <c r="E627" s="60"/>
      <c r="F627" s="60"/>
      <c r="G627" s="61"/>
      <c r="H627" s="60"/>
      <c r="I627" s="61"/>
      <c r="J627" s="60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6"/>
      <c r="AB627" s="36"/>
      <c r="AC627" s="36"/>
      <c r="AD627" s="36"/>
      <c r="AE627" s="36"/>
      <c r="AF627" s="36"/>
      <c r="AG627" s="36"/>
      <c r="AH627" s="36"/>
      <c r="AI627" s="36"/>
    </row>
    <row r="628" spans="1:35" s="62" customFormat="1" ht="13.5" customHeight="1" x14ac:dyDescent="0.25">
      <c r="A628" s="60"/>
      <c r="B628" s="60"/>
      <c r="C628" s="60"/>
      <c r="D628" s="60"/>
      <c r="E628" s="60"/>
      <c r="F628" s="60"/>
      <c r="G628" s="61"/>
      <c r="H628" s="60"/>
      <c r="I628" s="61"/>
      <c r="J628" s="60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6"/>
      <c r="AB628" s="36"/>
      <c r="AC628" s="36"/>
      <c r="AD628" s="36"/>
      <c r="AE628" s="36"/>
      <c r="AF628" s="36"/>
      <c r="AG628" s="36"/>
      <c r="AH628" s="36"/>
      <c r="AI628" s="36"/>
    </row>
    <row r="629" spans="1:35" s="62" customFormat="1" ht="13.5" customHeight="1" x14ac:dyDescent="0.25">
      <c r="A629" s="60"/>
      <c r="B629" s="60"/>
      <c r="C629" s="60"/>
      <c r="D629" s="60"/>
      <c r="E629" s="60"/>
      <c r="F629" s="60"/>
      <c r="G629" s="61"/>
      <c r="H629" s="60"/>
      <c r="I629" s="61"/>
      <c r="J629" s="60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6"/>
      <c r="AB629" s="36"/>
      <c r="AC629" s="36"/>
      <c r="AD629" s="36"/>
      <c r="AE629" s="36"/>
      <c r="AF629" s="36"/>
      <c r="AG629" s="36"/>
      <c r="AH629" s="36"/>
      <c r="AI629" s="36"/>
    </row>
    <row r="630" spans="1:35" s="62" customFormat="1" ht="13.5" customHeight="1" x14ac:dyDescent="0.25">
      <c r="A630" s="60"/>
      <c r="B630" s="60"/>
      <c r="C630" s="60"/>
      <c r="D630" s="60"/>
      <c r="E630" s="60"/>
      <c r="F630" s="60"/>
      <c r="G630" s="61"/>
      <c r="H630" s="60"/>
      <c r="I630" s="61"/>
      <c r="J630" s="60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6"/>
      <c r="AB630" s="36"/>
      <c r="AC630" s="36"/>
      <c r="AD630" s="36"/>
      <c r="AE630" s="36"/>
      <c r="AF630" s="36"/>
      <c r="AG630" s="36"/>
      <c r="AH630" s="36"/>
      <c r="AI630" s="36"/>
    </row>
    <row r="631" spans="1:35" s="62" customFormat="1" ht="13.5" customHeight="1" x14ac:dyDescent="0.25">
      <c r="A631" s="60"/>
      <c r="B631" s="60"/>
      <c r="C631" s="60"/>
      <c r="D631" s="60"/>
      <c r="E631" s="60"/>
      <c r="F631" s="60"/>
      <c r="G631" s="61"/>
      <c r="H631" s="60"/>
      <c r="I631" s="61"/>
      <c r="J631" s="60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6"/>
      <c r="AB631" s="36"/>
      <c r="AC631" s="36"/>
      <c r="AD631" s="36"/>
      <c r="AE631" s="36"/>
      <c r="AF631" s="36"/>
      <c r="AG631" s="36"/>
      <c r="AH631" s="36"/>
      <c r="AI631" s="36"/>
    </row>
    <row r="632" spans="1:35" s="62" customFormat="1" ht="13.5" customHeight="1" x14ac:dyDescent="0.25">
      <c r="A632" s="60"/>
      <c r="B632" s="60"/>
      <c r="C632" s="60"/>
      <c r="D632" s="60"/>
      <c r="E632" s="60"/>
      <c r="F632" s="60"/>
      <c r="G632" s="61"/>
      <c r="H632" s="60"/>
      <c r="I632" s="61"/>
      <c r="J632" s="60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6"/>
      <c r="AB632" s="36"/>
      <c r="AC632" s="36"/>
      <c r="AD632" s="36"/>
      <c r="AE632" s="36"/>
      <c r="AF632" s="36"/>
      <c r="AG632" s="36"/>
      <c r="AH632" s="36"/>
      <c r="AI632" s="36"/>
    </row>
    <row r="633" spans="1:35" s="62" customFormat="1" ht="13.5" customHeight="1" x14ac:dyDescent="0.25">
      <c r="A633" s="60"/>
      <c r="B633" s="60"/>
      <c r="C633" s="60"/>
      <c r="D633" s="60"/>
      <c r="E633" s="60"/>
      <c r="F633" s="60"/>
      <c r="G633" s="61"/>
      <c r="H633" s="60"/>
      <c r="I633" s="61"/>
      <c r="J633" s="60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6"/>
      <c r="AB633" s="36"/>
      <c r="AC633" s="36"/>
      <c r="AD633" s="36"/>
      <c r="AE633" s="36"/>
      <c r="AF633" s="36"/>
      <c r="AG633" s="36"/>
      <c r="AH633" s="36"/>
      <c r="AI633" s="36"/>
    </row>
    <row r="634" spans="1:35" s="62" customFormat="1" ht="13.5" customHeight="1" x14ac:dyDescent="0.25">
      <c r="A634" s="60"/>
      <c r="B634" s="60"/>
      <c r="C634" s="60"/>
      <c r="D634" s="60"/>
      <c r="E634" s="60"/>
      <c r="F634" s="60"/>
      <c r="G634" s="61"/>
      <c r="H634" s="60"/>
      <c r="I634" s="61"/>
      <c r="J634" s="60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6"/>
      <c r="AB634" s="36"/>
      <c r="AC634" s="36"/>
      <c r="AD634" s="36"/>
      <c r="AE634" s="36"/>
      <c r="AF634" s="36"/>
      <c r="AG634" s="36"/>
      <c r="AH634" s="36"/>
      <c r="AI634" s="36"/>
    </row>
    <row r="635" spans="1:35" s="62" customFormat="1" ht="13.5" customHeight="1" x14ac:dyDescent="0.25">
      <c r="A635" s="60"/>
      <c r="B635" s="60"/>
      <c r="C635" s="60"/>
      <c r="D635" s="60"/>
      <c r="E635" s="60"/>
      <c r="F635" s="60"/>
      <c r="G635" s="61"/>
      <c r="H635" s="60"/>
      <c r="I635" s="61"/>
      <c r="J635" s="60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6"/>
      <c r="AB635" s="36"/>
      <c r="AC635" s="36"/>
      <c r="AD635" s="36"/>
      <c r="AE635" s="36"/>
      <c r="AF635" s="36"/>
      <c r="AG635" s="36"/>
      <c r="AH635" s="36"/>
      <c r="AI635" s="36"/>
    </row>
    <row r="636" spans="1:35" s="62" customFormat="1" ht="13.5" customHeight="1" x14ac:dyDescent="0.25">
      <c r="A636" s="60"/>
      <c r="B636" s="60"/>
      <c r="C636" s="60"/>
      <c r="D636" s="60"/>
      <c r="E636" s="60"/>
      <c r="F636" s="60"/>
      <c r="G636" s="61"/>
      <c r="H636" s="60"/>
      <c r="I636" s="61"/>
      <c r="J636" s="60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6"/>
      <c r="AB636" s="36"/>
      <c r="AC636" s="36"/>
      <c r="AD636" s="36"/>
      <c r="AE636" s="36"/>
      <c r="AF636" s="36"/>
      <c r="AG636" s="36"/>
      <c r="AH636" s="36"/>
      <c r="AI636" s="36"/>
    </row>
    <row r="637" spans="1:35" s="62" customFormat="1" ht="13.5" customHeight="1" x14ac:dyDescent="0.25">
      <c r="A637" s="60"/>
      <c r="B637" s="60"/>
      <c r="C637" s="60"/>
      <c r="D637" s="60"/>
      <c r="E637" s="60"/>
      <c r="F637" s="60"/>
      <c r="G637" s="61"/>
      <c r="H637" s="60"/>
      <c r="I637" s="61"/>
      <c r="J637" s="60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6"/>
      <c r="AB637" s="36"/>
      <c r="AC637" s="36"/>
      <c r="AD637" s="36"/>
      <c r="AE637" s="36"/>
      <c r="AF637" s="36"/>
      <c r="AG637" s="36"/>
      <c r="AH637" s="36"/>
      <c r="AI637" s="36"/>
    </row>
    <row r="638" spans="1:35" s="62" customFormat="1" ht="13.5" customHeight="1" x14ac:dyDescent="0.25">
      <c r="A638" s="60"/>
      <c r="B638" s="60"/>
      <c r="C638" s="60"/>
      <c r="D638" s="60"/>
      <c r="E638" s="60"/>
      <c r="F638" s="60"/>
      <c r="G638" s="61"/>
      <c r="H638" s="60"/>
      <c r="I638" s="61"/>
      <c r="J638" s="60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6"/>
      <c r="AB638" s="36"/>
      <c r="AC638" s="36"/>
      <c r="AD638" s="36"/>
      <c r="AE638" s="36"/>
      <c r="AF638" s="36"/>
      <c r="AG638" s="36"/>
      <c r="AH638" s="36"/>
      <c r="AI638" s="36"/>
    </row>
    <row r="639" spans="1:35" s="62" customFormat="1" ht="13.5" customHeight="1" x14ac:dyDescent="0.25">
      <c r="A639" s="60"/>
      <c r="B639" s="60"/>
      <c r="C639" s="60"/>
      <c r="D639" s="60"/>
      <c r="E639" s="60"/>
      <c r="F639" s="60"/>
      <c r="G639" s="61"/>
      <c r="H639" s="60"/>
      <c r="I639" s="61"/>
      <c r="J639" s="60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6"/>
      <c r="AB639" s="36"/>
      <c r="AC639" s="36"/>
      <c r="AD639" s="36"/>
      <c r="AE639" s="36"/>
      <c r="AF639" s="36"/>
      <c r="AG639" s="36"/>
      <c r="AH639" s="36"/>
      <c r="AI639" s="36"/>
    </row>
    <row r="640" spans="1:35" s="62" customFormat="1" ht="13.5" customHeight="1" x14ac:dyDescent="0.25">
      <c r="A640" s="60"/>
      <c r="B640" s="60"/>
      <c r="C640" s="60"/>
      <c r="D640" s="60"/>
      <c r="E640" s="60"/>
      <c r="F640" s="60"/>
      <c r="G640" s="61"/>
      <c r="H640" s="60"/>
      <c r="I640" s="61"/>
      <c r="J640" s="60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6"/>
      <c r="AB640" s="36"/>
      <c r="AC640" s="36"/>
      <c r="AD640" s="36"/>
      <c r="AE640" s="36"/>
      <c r="AF640" s="36"/>
      <c r="AG640" s="36"/>
      <c r="AH640" s="36"/>
      <c r="AI640" s="36"/>
    </row>
    <row r="641" spans="1:35" s="62" customFormat="1" ht="13.5" customHeight="1" x14ac:dyDescent="0.25">
      <c r="A641" s="60"/>
      <c r="B641" s="60"/>
      <c r="C641" s="60"/>
      <c r="D641" s="60"/>
      <c r="E641" s="60"/>
      <c r="F641" s="60"/>
      <c r="G641" s="61"/>
      <c r="H641" s="60"/>
      <c r="I641" s="61"/>
      <c r="J641" s="60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6"/>
      <c r="AB641" s="36"/>
      <c r="AC641" s="36"/>
      <c r="AD641" s="36"/>
      <c r="AE641" s="36"/>
      <c r="AF641" s="36"/>
      <c r="AG641" s="36"/>
      <c r="AH641" s="36"/>
      <c r="AI641" s="36"/>
    </row>
    <row r="642" spans="1:35" s="62" customFormat="1" ht="13.5" customHeight="1" x14ac:dyDescent="0.25">
      <c r="A642" s="60"/>
      <c r="B642" s="60"/>
      <c r="C642" s="60"/>
      <c r="D642" s="60"/>
      <c r="E642" s="60"/>
      <c r="F642" s="60"/>
      <c r="G642" s="61"/>
      <c r="H642" s="60"/>
      <c r="I642" s="61"/>
      <c r="J642" s="60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6"/>
      <c r="AB642" s="36"/>
      <c r="AC642" s="36"/>
      <c r="AD642" s="36"/>
      <c r="AE642" s="36"/>
      <c r="AF642" s="36"/>
      <c r="AG642" s="36"/>
      <c r="AH642" s="36"/>
      <c r="AI642" s="36"/>
    </row>
    <row r="643" spans="1:35" s="62" customFormat="1" ht="13.5" customHeight="1" x14ac:dyDescent="0.25">
      <c r="A643" s="60"/>
      <c r="B643" s="60"/>
      <c r="C643" s="60"/>
      <c r="D643" s="60"/>
      <c r="E643" s="60"/>
      <c r="F643" s="60"/>
      <c r="G643" s="61"/>
      <c r="H643" s="60"/>
      <c r="I643" s="61"/>
      <c r="J643" s="60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6"/>
      <c r="AB643" s="36"/>
      <c r="AC643" s="36"/>
      <c r="AD643" s="36"/>
      <c r="AE643" s="36"/>
      <c r="AF643" s="36"/>
      <c r="AG643" s="36"/>
      <c r="AH643" s="36"/>
      <c r="AI643" s="36"/>
    </row>
    <row r="644" spans="1:35" s="62" customFormat="1" ht="13.5" customHeight="1" x14ac:dyDescent="0.25">
      <c r="A644" s="60"/>
      <c r="B644" s="60"/>
      <c r="C644" s="60"/>
      <c r="D644" s="60"/>
      <c r="E644" s="60"/>
      <c r="F644" s="60"/>
      <c r="G644" s="61"/>
      <c r="H644" s="60"/>
      <c r="I644" s="61"/>
      <c r="J644" s="60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6"/>
      <c r="AB644" s="36"/>
      <c r="AC644" s="36"/>
      <c r="AD644" s="36"/>
      <c r="AE644" s="36"/>
      <c r="AF644" s="36"/>
      <c r="AG644" s="36"/>
      <c r="AH644" s="36"/>
      <c r="AI644" s="36"/>
    </row>
    <row r="645" spans="1:35" s="62" customFormat="1" ht="13.5" customHeight="1" x14ac:dyDescent="0.25">
      <c r="A645" s="60"/>
      <c r="B645" s="60"/>
      <c r="C645" s="60"/>
      <c r="D645" s="60"/>
      <c r="E645" s="60"/>
      <c r="F645" s="60"/>
      <c r="G645" s="61"/>
      <c r="H645" s="60"/>
      <c r="I645" s="61"/>
      <c r="J645" s="60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6"/>
      <c r="AB645" s="36"/>
      <c r="AC645" s="36"/>
      <c r="AD645" s="36"/>
      <c r="AE645" s="36"/>
      <c r="AF645" s="36"/>
      <c r="AG645" s="36"/>
      <c r="AH645" s="36"/>
      <c r="AI645" s="36"/>
    </row>
    <row r="646" spans="1:35" s="62" customFormat="1" ht="13.5" customHeight="1" x14ac:dyDescent="0.25">
      <c r="A646" s="60"/>
      <c r="B646" s="60"/>
      <c r="C646" s="60"/>
      <c r="D646" s="60"/>
      <c r="E646" s="60"/>
      <c r="F646" s="60"/>
      <c r="G646" s="61"/>
      <c r="H646" s="60"/>
      <c r="I646" s="61"/>
      <c r="J646" s="60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6"/>
      <c r="AB646" s="36"/>
      <c r="AC646" s="36"/>
      <c r="AD646" s="36"/>
      <c r="AE646" s="36"/>
      <c r="AF646" s="36"/>
      <c r="AG646" s="36"/>
      <c r="AH646" s="36"/>
      <c r="AI646" s="36"/>
    </row>
    <row r="647" spans="1:35" s="62" customFormat="1" ht="13.5" customHeight="1" x14ac:dyDescent="0.25">
      <c r="A647" s="60"/>
      <c r="B647" s="60"/>
      <c r="C647" s="60"/>
      <c r="D647" s="60"/>
      <c r="E647" s="60"/>
      <c r="F647" s="60"/>
      <c r="G647" s="61"/>
      <c r="H647" s="60"/>
      <c r="I647" s="61"/>
      <c r="J647" s="60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6"/>
      <c r="AB647" s="36"/>
      <c r="AC647" s="36"/>
      <c r="AD647" s="36"/>
      <c r="AE647" s="36"/>
      <c r="AF647" s="36"/>
      <c r="AG647" s="36"/>
      <c r="AH647" s="36"/>
      <c r="AI647" s="36"/>
    </row>
    <row r="648" spans="1:35" s="62" customFormat="1" ht="13.5" customHeight="1" x14ac:dyDescent="0.25">
      <c r="A648" s="60"/>
      <c r="B648" s="60"/>
      <c r="C648" s="60"/>
      <c r="D648" s="60"/>
      <c r="E648" s="60"/>
      <c r="F648" s="60"/>
      <c r="G648" s="61"/>
      <c r="H648" s="60"/>
      <c r="I648" s="61"/>
      <c r="J648" s="60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6"/>
      <c r="AB648" s="36"/>
      <c r="AC648" s="36"/>
      <c r="AD648" s="36"/>
      <c r="AE648" s="36"/>
      <c r="AF648" s="36"/>
      <c r="AG648" s="36"/>
      <c r="AH648" s="36"/>
      <c r="AI648" s="36"/>
    </row>
    <row r="649" spans="1:35" s="62" customFormat="1" ht="13.5" customHeight="1" x14ac:dyDescent="0.25">
      <c r="A649" s="60"/>
      <c r="B649" s="60"/>
      <c r="C649" s="60"/>
      <c r="D649" s="60"/>
      <c r="E649" s="60"/>
      <c r="F649" s="60"/>
      <c r="G649" s="61"/>
      <c r="H649" s="60"/>
      <c r="I649" s="61"/>
      <c r="J649" s="60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6"/>
      <c r="AB649" s="36"/>
      <c r="AC649" s="36"/>
      <c r="AD649" s="36"/>
      <c r="AE649" s="36"/>
      <c r="AF649" s="36"/>
      <c r="AG649" s="36"/>
      <c r="AH649" s="36"/>
      <c r="AI649" s="36"/>
    </row>
    <row r="650" spans="1:35" s="62" customFormat="1" ht="13.5" customHeight="1" x14ac:dyDescent="0.25">
      <c r="A650" s="60"/>
      <c r="B650" s="60"/>
      <c r="C650" s="60"/>
      <c r="D650" s="60"/>
      <c r="E650" s="60"/>
      <c r="F650" s="60"/>
      <c r="G650" s="61"/>
      <c r="H650" s="60"/>
      <c r="I650" s="61"/>
      <c r="J650" s="60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6"/>
      <c r="AB650" s="36"/>
      <c r="AC650" s="36"/>
      <c r="AD650" s="36"/>
      <c r="AE650" s="36"/>
      <c r="AF650" s="36"/>
      <c r="AG650" s="36"/>
      <c r="AH650" s="36"/>
      <c r="AI650" s="36"/>
    </row>
    <row r="651" spans="1:35" s="62" customFormat="1" ht="13.5" customHeight="1" x14ac:dyDescent="0.25">
      <c r="A651" s="60"/>
      <c r="B651" s="60"/>
      <c r="C651" s="60"/>
      <c r="D651" s="60"/>
      <c r="E651" s="60"/>
      <c r="F651" s="60"/>
      <c r="G651" s="61"/>
      <c r="H651" s="60"/>
      <c r="I651" s="61"/>
      <c r="J651" s="60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6"/>
      <c r="AB651" s="36"/>
      <c r="AC651" s="36"/>
      <c r="AD651" s="36"/>
      <c r="AE651" s="36"/>
      <c r="AF651" s="36"/>
      <c r="AG651" s="36"/>
      <c r="AH651" s="36"/>
      <c r="AI651" s="36"/>
    </row>
    <row r="652" spans="1:35" s="62" customFormat="1" ht="13.5" customHeight="1" x14ac:dyDescent="0.25">
      <c r="A652" s="60"/>
      <c r="B652" s="60"/>
      <c r="C652" s="60"/>
      <c r="D652" s="60"/>
      <c r="E652" s="60"/>
      <c r="F652" s="60"/>
      <c r="G652" s="61"/>
      <c r="H652" s="60"/>
      <c r="I652" s="61"/>
      <c r="J652" s="60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6"/>
      <c r="AB652" s="36"/>
      <c r="AC652" s="36"/>
      <c r="AD652" s="36"/>
      <c r="AE652" s="36"/>
      <c r="AF652" s="36"/>
      <c r="AG652" s="36"/>
      <c r="AH652" s="36"/>
      <c r="AI652" s="36"/>
    </row>
    <row r="653" spans="1:35" s="62" customFormat="1" ht="13.5" customHeight="1" x14ac:dyDescent="0.25">
      <c r="A653" s="60"/>
      <c r="B653" s="60"/>
      <c r="C653" s="60"/>
      <c r="D653" s="60"/>
      <c r="E653" s="60"/>
      <c r="F653" s="60"/>
      <c r="G653" s="61"/>
      <c r="H653" s="60"/>
      <c r="I653" s="61"/>
      <c r="J653" s="60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6"/>
      <c r="AB653" s="36"/>
      <c r="AC653" s="36"/>
      <c r="AD653" s="36"/>
      <c r="AE653" s="36"/>
      <c r="AF653" s="36"/>
      <c r="AG653" s="36"/>
      <c r="AH653" s="36"/>
      <c r="AI653" s="36"/>
    </row>
    <row r="654" spans="1:35" s="62" customFormat="1" ht="13.5" customHeight="1" x14ac:dyDescent="0.25">
      <c r="A654" s="60"/>
      <c r="B654" s="60"/>
      <c r="C654" s="60"/>
      <c r="D654" s="60"/>
      <c r="E654" s="60"/>
      <c r="F654" s="60"/>
      <c r="G654" s="61"/>
      <c r="H654" s="60"/>
      <c r="I654" s="61"/>
      <c r="J654" s="60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6"/>
      <c r="AB654" s="36"/>
      <c r="AC654" s="36"/>
      <c r="AD654" s="36"/>
      <c r="AE654" s="36"/>
      <c r="AF654" s="36"/>
      <c r="AG654" s="36"/>
      <c r="AH654" s="36"/>
      <c r="AI654" s="36"/>
    </row>
    <row r="655" spans="1:35" s="62" customFormat="1" ht="13.5" customHeight="1" x14ac:dyDescent="0.25">
      <c r="A655" s="60"/>
      <c r="B655" s="60"/>
      <c r="C655" s="60"/>
      <c r="D655" s="60"/>
      <c r="E655" s="60"/>
      <c r="F655" s="60"/>
      <c r="G655" s="61"/>
      <c r="H655" s="60"/>
      <c r="I655" s="61"/>
      <c r="J655" s="60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6"/>
      <c r="AB655" s="36"/>
      <c r="AC655" s="36"/>
      <c r="AD655" s="36"/>
      <c r="AE655" s="36"/>
      <c r="AF655" s="36"/>
      <c r="AG655" s="36"/>
      <c r="AH655" s="36"/>
      <c r="AI655" s="36"/>
    </row>
    <row r="656" spans="1:35" s="62" customFormat="1" ht="13.5" customHeight="1" x14ac:dyDescent="0.25">
      <c r="A656" s="60"/>
      <c r="B656" s="60"/>
      <c r="C656" s="60"/>
      <c r="D656" s="60"/>
      <c r="E656" s="60"/>
      <c r="F656" s="60"/>
      <c r="G656" s="61"/>
      <c r="H656" s="60"/>
      <c r="I656" s="61"/>
      <c r="J656" s="60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6"/>
      <c r="AB656" s="36"/>
      <c r="AC656" s="36"/>
      <c r="AD656" s="36"/>
      <c r="AE656" s="36"/>
      <c r="AF656" s="36"/>
      <c r="AG656" s="36"/>
      <c r="AH656" s="36"/>
      <c r="AI656" s="36"/>
    </row>
    <row r="657" spans="1:35" s="62" customFormat="1" ht="13.5" customHeight="1" x14ac:dyDescent="0.25">
      <c r="A657" s="60"/>
      <c r="B657" s="60"/>
      <c r="C657" s="60"/>
      <c r="D657" s="60"/>
      <c r="E657" s="60"/>
      <c r="F657" s="60"/>
      <c r="G657" s="61"/>
      <c r="H657" s="60"/>
      <c r="I657" s="61"/>
      <c r="J657" s="60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6"/>
      <c r="AB657" s="36"/>
      <c r="AC657" s="36"/>
      <c r="AD657" s="36"/>
      <c r="AE657" s="36"/>
      <c r="AF657" s="36"/>
      <c r="AG657" s="36"/>
      <c r="AH657" s="36"/>
      <c r="AI657" s="36"/>
    </row>
    <row r="658" spans="1:35" s="62" customFormat="1" ht="13.5" customHeight="1" x14ac:dyDescent="0.25">
      <c r="A658" s="60"/>
      <c r="B658" s="60"/>
      <c r="C658" s="60"/>
      <c r="D658" s="60"/>
      <c r="E658" s="60"/>
      <c r="F658" s="60"/>
      <c r="G658" s="61"/>
      <c r="H658" s="60"/>
      <c r="I658" s="61"/>
      <c r="J658" s="60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6"/>
      <c r="AB658" s="36"/>
      <c r="AC658" s="36"/>
      <c r="AD658" s="36"/>
      <c r="AE658" s="36"/>
      <c r="AF658" s="36"/>
      <c r="AG658" s="36"/>
      <c r="AH658" s="36"/>
      <c r="AI658" s="36"/>
    </row>
    <row r="659" spans="1:35" s="62" customFormat="1" ht="13.5" customHeight="1" x14ac:dyDescent="0.25">
      <c r="A659" s="60"/>
      <c r="B659" s="60"/>
      <c r="C659" s="60"/>
      <c r="D659" s="60"/>
      <c r="E659" s="60"/>
      <c r="F659" s="60"/>
      <c r="G659" s="61"/>
      <c r="H659" s="60"/>
      <c r="I659" s="61"/>
      <c r="J659" s="60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6"/>
      <c r="AB659" s="36"/>
      <c r="AC659" s="36"/>
      <c r="AD659" s="36"/>
      <c r="AE659" s="36"/>
      <c r="AF659" s="36"/>
      <c r="AG659" s="36"/>
      <c r="AH659" s="36"/>
      <c r="AI659" s="36"/>
    </row>
    <row r="660" spans="1:35" s="62" customFormat="1" ht="13.5" customHeight="1" x14ac:dyDescent="0.25">
      <c r="A660" s="60"/>
      <c r="B660" s="60"/>
      <c r="C660" s="60"/>
      <c r="D660" s="60"/>
      <c r="E660" s="60"/>
      <c r="F660" s="60"/>
      <c r="G660" s="61"/>
      <c r="H660" s="60"/>
      <c r="I660" s="61"/>
      <c r="J660" s="60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6"/>
      <c r="AB660" s="36"/>
      <c r="AC660" s="36"/>
      <c r="AD660" s="36"/>
      <c r="AE660" s="36"/>
      <c r="AF660" s="36"/>
      <c r="AG660" s="36"/>
      <c r="AH660" s="36"/>
      <c r="AI660" s="36"/>
    </row>
    <row r="661" spans="1:35" s="62" customFormat="1" ht="13.5" customHeight="1" x14ac:dyDescent="0.25">
      <c r="A661" s="60"/>
      <c r="B661" s="60"/>
      <c r="C661" s="60"/>
      <c r="D661" s="60"/>
      <c r="E661" s="60"/>
      <c r="F661" s="60"/>
      <c r="G661" s="61"/>
      <c r="H661" s="60"/>
      <c r="I661" s="61"/>
      <c r="J661" s="60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6"/>
      <c r="AB661" s="36"/>
      <c r="AC661" s="36"/>
      <c r="AD661" s="36"/>
      <c r="AE661" s="36"/>
      <c r="AF661" s="36"/>
      <c r="AG661" s="36"/>
      <c r="AH661" s="36"/>
      <c r="AI661" s="36"/>
    </row>
    <row r="662" spans="1:35" s="62" customFormat="1" ht="13.5" customHeight="1" x14ac:dyDescent="0.25">
      <c r="A662" s="60"/>
      <c r="B662" s="60"/>
      <c r="C662" s="60"/>
      <c r="D662" s="60"/>
      <c r="E662" s="60"/>
      <c r="F662" s="60"/>
      <c r="G662" s="61"/>
      <c r="H662" s="60"/>
      <c r="I662" s="61"/>
      <c r="J662" s="60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6"/>
      <c r="AB662" s="36"/>
      <c r="AC662" s="36"/>
      <c r="AD662" s="36"/>
      <c r="AE662" s="36"/>
      <c r="AF662" s="36"/>
      <c r="AG662" s="36"/>
      <c r="AH662" s="36"/>
      <c r="AI662" s="36"/>
    </row>
    <row r="663" spans="1:35" s="62" customFormat="1" ht="13.5" customHeight="1" x14ac:dyDescent="0.25">
      <c r="A663" s="60"/>
      <c r="B663" s="60"/>
      <c r="C663" s="60"/>
      <c r="D663" s="60"/>
      <c r="E663" s="60"/>
      <c r="F663" s="60"/>
      <c r="G663" s="61"/>
      <c r="H663" s="60"/>
      <c r="I663" s="61"/>
      <c r="J663" s="60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6"/>
      <c r="AB663" s="36"/>
      <c r="AC663" s="36"/>
      <c r="AD663" s="36"/>
      <c r="AE663" s="36"/>
      <c r="AF663" s="36"/>
      <c r="AG663" s="36"/>
      <c r="AH663" s="36"/>
      <c r="AI663" s="36"/>
    </row>
    <row r="664" spans="1:35" s="62" customFormat="1" ht="13.5" customHeight="1" x14ac:dyDescent="0.25">
      <c r="A664" s="60"/>
      <c r="B664" s="60"/>
      <c r="C664" s="60"/>
      <c r="D664" s="60"/>
      <c r="E664" s="60"/>
      <c r="F664" s="60"/>
      <c r="G664" s="61"/>
      <c r="H664" s="60"/>
      <c r="I664" s="61"/>
      <c r="J664" s="60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6"/>
      <c r="AB664" s="36"/>
      <c r="AC664" s="36"/>
      <c r="AD664" s="36"/>
      <c r="AE664" s="36"/>
      <c r="AF664" s="36"/>
      <c r="AG664" s="36"/>
      <c r="AH664" s="36"/>
      <c r="AI664" s="36"/>
    </row>
    <row r="665" spans="1:35" s="62" customFormat="1" ht="13.5" customHeight="1" x14ac:dyDescent="0.25">
      <c r="A665" s="60"/>
      <c r="B665" s="60"/>
      <c r="C665" s="60"/>
      <c r="D665" s="60"/>
      <c r="E665" s="60"/>
      <c r="F665" s="60"/>
      <c r="G665" s="61"/>
      <c r="H665" s="60"/>
      <c r="I665" s="61"/>
      <c r="J665" s="60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6"/>
      <c r="AB665" s="36"/>
      <c r="AC665" s="36"/>
      <c r="AD665" s="36"/>
      <c r="AE665" s="36"/>
      <c r="AF665" s="36"/>
      <c r="AG665" s="36"/>
      <c r="AH665" s="36"/>
      <c r="AI665" s="36"/>
    </row>
    <row r="666" spans="1:35" s="62" customFormat="1" ht="13.5" customHeight="1" x14ac:dyDescent="0.25">
      <c r="A666" s="60"/>
      <c r="B666" s="60"/>
      <c r="C666" s="60"/>
      <c r="D666" s="60"/>
      <c r="E666" s="60"/>
      <c r="F666" s="60"/>
      <c r="G666" s="61"/>
      <c r="H666" s="60"/>
      <c r="I666" s="61"/>
      <c r="J666" s="60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6"/>
      <c r="AB666" s="36"/>
      <c r="AC666" s="36"/>
      <c r="AD666" s="36"/>
      <c r="AE666" s="36"/>
      <c r="AF666" s="36"/>
      <c r="AG666" s="36"/>
      <c r="AH666" s="36"/>
      <c r="AI666" s="36"/>
    </row>
    <row r="667" spans="1:35" s="62" customFormat="1" ht="13.5" customHeight="1" x14ac:dyDescent="0.25">
      <c r="A667" s="60"/>
      <c r="B667" s="60"/>
      <c r="C667" s="60"/>
      <c r="D667" s="60"/>
      <c r="E667" s="60"/>
      <c r="F667" s="60"/>
      <c r="G667" s="61"/>
      <c r="H667" s="60"/>
      <c r="I667" s="61"/>
      <c r="J667" s="60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6"/>
      <c r="AB667" s="36"/>
      <c r="AC667" s="36"/>
      <c r="AD667" s="36"/>
      <c r="AE667" s="36"/>
      <c r="AF667" s="36"/>
      <c r="AG667" s="36"/>
      <c r="AH667" s="36"/>
      <c r="AI667" s="36"/>
    </row>
    <row r="668" spans="1:35" s="62" customFormat="1" ht="13.5" customHeight="1" x14ac:dyDescent="0.25">
      <c r="A668" s="60"/>
      <c r="B668" s="60"/>
      <c r="C668" s="60"/>
      <c r="D668" s="60"/>
      <c r="E668" s="60"/>
      <c r="F668" s="60"/>
      <c r="G668" s="61"/>
      <c r="H668" s="60"/>
      <c r="I668" s="61"/>
      <c r="J668" s="60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6"/>
      <c r="AB668" s="36"/>
      <c r="AC668" s="36"/>
      <c r="AD668" s="36"/>
      <c r="AE668" s="36"/>
      <c r="AF668" s="36"/>
      <c r="AG668" s="36"/>
      <c r="AH668" s="36"/>
      <c r="AI668" s="36"/>
    </row>
    <row r="669" spans="1:35" s="62" customFormat="1" ht="13.5" customHeight="1" x14ac:dyDescent="0.25">
      <c r="A669" s="60"/>
      <c r="B669" s="60"/>
      <c r="C669" s="60"/>
      <c r="D669" s="60"/>
      <c r="E669" s="60"/>
      <c r="F669" s="60"/>
      <c r="G669" s="61"/>
      <c r="H669" s="60"/>
      <c r="I669" s="61"/>
      <c r="J669" s="60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6"/>
      <c r="AB669" s="36"/>
      <c r="AC669" s="36"/>
      <c r="AD669" s="36"/>
      <c r="AE669" s="36"/>
      <c r="AF669" s="36"/>
      <c r="AG669" s="36"/>
      <c r="AH669" s="36"/>
      <c r="AI669" s="36"/>
    </row>
    <row r="670" spans="1:35" s="62" customFormat="1" ht="13.5" customHeight="1" x14ac:dyDescent="0.25">
      <c r="A670" s="60"/>
      <c r="B670" s="60"/>
      <c r="C670" s="60"/>
      <c r="D670" s="60"/>
      <c r="E670" s="60"/>
      <c r="F670" s="60"/>
      <c r="G670" s="61"/>
      <c r="H670" s="60"/>
      <c r="I670" s="61"/>
      <c r="J670" s="60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6"/>
      <c r="AB670" s="36"/>
      <c r="AC670" s="36"/>
      <c r="AD670" s="36"/>
      <c r="AE670" s="36"/>
      <c r="AF670" s="36"/>
      <c r="AG670" s="36"/>
      <c r="AH670" s="36"/>
      <c r="AI670" s="36"/>
    </row>
    <row r="671" spans="1:35" s="62" customFormat="1" ht="13.5" customHeight="1" x14ac:dyDescent="0.25">
      <c r="A671" s="60"/>
      <c r="B671" s="60"/>
      <c r="C671" s="60"/>
      <c r="D671" s="60"/>
      <c r="E671" s="60"/>
      <c r="F671" s="60"/>
      <c r="G671" s="61"/>
      <c r="H671" s="60"/>
      <c r="I671" s="61"/>
      <c r="J671" s="60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6"/>
      <c r="AB671" s="36"/>
      <c r="AC671" s="36"/>
      <c r="AD671" s="36"/>
      <c r="AE671" s="36"/>
      <c r="AF671" s="36"/>
      <c r="AG671" s="36"/>
      <c r="AH671" s="36"/>
      <c r="AI671" s="36"/>
    </row>
    <row r="672" spans="1:35" s="62" customFormat="1" ht="13.5" customHeight="1" x14ac:dyDescent="0.25">
      <c r="A672" s="60"/>
      <c r="B672" s="60"/>
      <c r="C672" s="60"/>
      <c r="D672" s="60"/>
      <c r="E672" s="60"/>
      <c r="F672" s="60"/>
      <c r="G672" s="61"/>
      <c r="H672" s="60"/>
      <c r="I672" s="61"/>
      <c r="J672" s="60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6"/>
      <c r="AB672" s="36"/>
      <c r="AC672" s="36"/>
      <c r="AD672" s="36"/>
      <c r="AE672" s="36"/>
      <c r="AF672" s="36"/>
      <c r="AG672" s="36"/>
      <c r="AH672" s="36"/>
      <c r="AI672" s="36"/>
    </row>
    <row r="673" spans="1:35" s="62" customFormat="1" ht="13.5" customHeight="1" x14ac:dyDescent="0.25">
      <c r="A673" s="60"/>
      <c r="B673" s="60"/>
      <c r="C673" s="60"/>
      <c r="D673" s="60"/>
      <c r="E673" s="60"/>
      <c r="F673" s="60"/>
      <c r="G673" s="61"/>
      <c r="H673" s="60"/>
      <c r="I673" s="61"/>
      <c r="J673" s="60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6"/>
      <c r="AB673" s="36"/>
      <c r="AC673" s="36"/>
      <c r="AD673" s="36"/>
      <c r="AE673" s="36"/>
      <c r="AF673" s="36"/>
      <c r="AG673" s="36"/>
      <c r="AH673" s="36"/>
      <c r="AI673" s="36"/>
    </row>
    <row r="674" spans="1:35" s="62" customFormat="1" ht="13.5" customHeight="1" x14ac:dyDescent="0.25">
      <c r="A674" s="60"/>
      <c r="B674" s="60"/>
      <c r="C674" s="60"/>
      <c r="D674" s="60"/>
      <c r="E674" s="60"/>
      <c r="F674" s="60"/>
      <c r="G674" s="61"/>
      <c r="H674" s="60"/>
      <c r="I674" s="61"/>
      <c r="J674" s="60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6"/>
      <c r="AB674" s="36"/>
      <c r="AC674" s="36"/>
      <c r="AD674" s="36"/>
      <c r="AE674" s="36"/>
      <c r="AF674" s="36"/>
      <c r="AG674" s="36"/>
      <c r="AH674" s="36"/>
      <c r="AI674" s="36"/>
    </row>
    <row r="675" spans="1:35" s="62" customFormat="1" ht="13.5" customHeight="1" x14ac:dyDescent="0.25">
      <c r="A675" s="60"/>
      <c r="B675" s="60"/>
      <c r="C675" s="60"/>
      <c r="D675" s="60"/>
      <c r="E675" s="60"/>
      <c r="F675" s="60"/>
      <c r="G675" s="61"/>
      <c r="H675" s="60"/>
      <c r="I675" s="61"/>
      <c r="J675" s="60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6"/>
      <c r="AB675" s="36"/>
      <c r="AC675" s="36"/>
      <c r="AD675" s="36"/>
      <c r="AE675" s="36"/>
      <c r="AF675" s="36"/>
      <c r="AG675" s="36"/>
      <c r="AH675" s="36"/>
      <c r="AI675" s="36"/>
    </row>
    <row r="676" spans="1:35" s="62" customFormat="1" ht="13.5" customHeight="1" x14ac:dyDescent="0.25">
      <c r="A676" s="60"/>
      <c r="B676" s="60"/>
      <c r="C676" s="60"/>
      <c r="D676" s="60"/>
      <c r="E676" s="60"/>
      <c r="F676" s="60"/>
      <c r="G676" s="61"/>
      <c r="H676" s="60"/>
      <c r="I676" s="61"/>
      <c r="J676" s="60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6"/>
      <c r="AB676" s="36"/>
      <c r="AC676" s="36"/>
      <c r="AD676" s="36"/>
      <c r="AE676" s="36"/>
      <c r="AF676" s="36"/>
      <c r="AG676" s="36"/>
      <c r="AH676" s="36"/>
      <c r="AI676" s="36"/>
    </row>
    <row r="677" spans="1:35" s="62" customFormat="1" ht="13.5" customHeight="1" x14ac:dyDescent="0.25">
      <c r="A677" s="60"/>
      <c r="B677" s="60"/>
      <c r="C677" s="60"/>
      <c r="D677" s="60"/>
      <c r="E677" s="60"/>
      <c r="F677" s="60"/>
      <c r="G677" s="61"/>
      <c r="H677" s="60"/>
      <c r="I677" s="61"/>
      <c r="J677" s="60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6"/>
      <c r="AB677" s="36"/>
      <c r="AC677" s="36"/>
      <c r="AD677" s="36"/>
      <c r="AE677" s="36"/>
      <c r="AF677" s="36"/>
      <c r="AG677" s="36"/>
      <c r="AH677" s="36"/>
      <c r="AI677" s="36"/>
    </row>
    <row r="678" spans="1:35" s="62" customFormat="1" ht="13.5" customHeight="1" x14ac:dyDescent="0.25">
      <c r="A678" s="60"/>
      <c r="B678" s="60"/>
      <c r="C678" s="60"/>
      <c r="D678" s="60"/>
      <c r="E678" s="60"/>
      <c r="F678" s="60"/>
      <c r="G678" s="61"/>
      <c r="H678" s="60"/>
      <c r="I678" s="61"/>
      <c r="J678" s="60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6"/>
      <c r="AB678" s="36"/>
      <c r="AC678" s="36"/>
      <c r="AD678" s="36"/>
      <c r="AE678" s="36"/>
      <c r="AF678" s="36"/>
      <c r="AG678" s="36"/>
      <c r="AH678" s="36"/>
      <c r="AI678" s="36"/>
    </row>
    <row r="679" spans="1:35" s="62" customFormat="1" ht="13.5" customHeight="1" x14ac:dyDescent="0.25">
      <c r="A679" s="60"/>
      <c r="B679" s="60"/>
      <c r="C679" s="60"/>
      <c r="D679" s="60"/>
      <c r="E679" s="60"/>
      <c r="F679" s="60"/>
      <c r="G679" s="61"/>
      <c r="H679" s="60"/>
      <c r="I679" s="61"/>
      <c r="J679" s="60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6"/>
      <c r="AB679" s="36"/>
      <c r="AC679" s="36"/>
      <c r="AD679" s="36"/>
      <c r="AE679" s="36"/>
      <c r="AF679" s="36"/>
      <c r="AG679" s="36"/>
      <c r="AH679" s="36"/>
      <c r="AI679" s="36"/>
    </row>
    <row r="680" spans="1:35" s="62" customFormat="1" ht="13.5" customHeight="1" x14ac:dyDescent="0.25">
      <c r="A680" s="60"/>
      <c r="B680" s="60"/>
      <c r="C680" s="60"/>
      <c r="D680" s="60"/>
      <c r="E680" s="60"/>
      <c r="F680" s="60"/>
      <c r="G680" s="61"/>
      <c r="H680" s="60"/>
      <c r="I680" s="61"/>
      <c r="J680" s="60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6"/>
      <c r="AB680" s="36"/>
      <c r="AC680" s="36"/>
      <c r="AD680" s="36"/>
      <c r="AE680" s="36"/>
      <c r="AF680" s="36"/>
      <c r="AG680" s="36"/>
      <c r="AH680" s="36"/>
      <c r="AI680" s="36"/>
    </row>
    <row r="681" spans="1:35" s="62" customFormat="1" ht="13.5" customHeight="1" x14ac:dyDescent="0.25">
      <c r="A681" s="60"/>
      <c r="B681" s="60"/>
      <c r="C681" s="60"/>
      <c r="D681" s="60"/>
      <c r="E681" s="60"/>
      <c r="F681" s="60"/>
      <c r="G681" s="61"/>
      <c r="H681" s="60"/>
      <c r="I681" s="61"/>
      <c r="J681" s="60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6"/>
      <c r="AB681" s="36"/>
      <c r="AC681" s="36"/>
      <c r="AD681" s="36"/>
      <c r="AE681" s="36"/>
      <c r="AF681" s="36"/>
      <c r="AG681" s="36"/>
      <c r="AH681" s="36"/>
      <c r="AI681" s="36"/>
    </row>
    <row r="682" spans="1:35" s="62" customFormat="1" ht="13.5" customHeight="1" x14ac:dyDescent="0.25">
      <c r="A682" s="60"/>
      <c r="B682" s="60"/>
      <c r="C682" s="60"/>
      <c r="D682" s="60"/>
      <c r="E682" s="60"/>
      <c r="F682" s="60"/>
      <c r="G682" s="61"/>
      <c r="H682" s="60"/>
      <c r="I682" s="61"/>
      <c r="J682" s="60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6"/>
      <c r="AB682" s="36"/>
      <c r="AC682" s="36"/>
      <c r="AD682" s="36"/>
      <c r="AE682" s="36"/>
      <c r="AF682" s="36"/>
      <c r="AG682" s="36"/>
      <c r="AH682" s="36"/>
      <c r="AI682" s="36"/>
    </row>
    <row r="683" spans="1:35" s="62" customFormat="1" ht="13.5" customHeight="1" x14ac:dyDescent="0.25">
      <c r="A683" s="60"/>
      <c r="B683" s="60"/>
      <c r="C683" s="60"/>
      <c r="D683" s="60"/>
      <c r="E683" s="60"/>
      <c r="F683" s="60"/>
      <c r="G683" s="61"/>
      <c r="H683" s="60"/>
      <c r="I683" s="61"/>
      <c r="J683" s="60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6"/>
      <c r="AB683" s="36"/>
      <c r="AC683" s="36"/>
      <c r="AD683" s="36"/>
      <c r="AE683" s="36"/>
      <c r="AF683" s="36"/>
      <c r="AG683" s="36"/>
      <c r="AH683" s="36"/>
      <c r="AI683" s="36"/>
    </row>
    <row r="684" spans="1:35" s="62" customFormat="1" ht="13.5" customHeight="1" x14ac:dyDescent="0.25">
      <c r="A684" s="60"/>
      <c r="B684" s="60"/>
      <c r="C684" s="60"/>
      <c r="D684" s="60"/>
      <c r="E684" s="60"/>
      <c r="F684" s="60"/>
      <c r="G684" s="61"/>
      <c r="H684" s="60"/>
      <c r="I684" s="61"/>
      <c r="J684" s="60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6"/>
      <c r="AB684" s="36"/>
      <c r="AC684" s="36"/>
      <c r="AD684" s="36"/>
      <c r="AE684" s="36"/>
      <c r="AF684" s="36"/>
      <c r="AG684" s="36"/>
      <c r="AH684" s="36"/>
      <c r="AI684" s="36"/>
    </row>
    <row r="685" spans="1:35" s="62" customFormat="1" ht="13.5" customHeight="1" x14ac:dyDescent="0.25">
      <c r="A685" s="60"/>
      <c r="B685" s="60"/>
      <c r="C685" s="60"/>
      <c r="D685" s="60"/>
      <c r="E685" s="60"/>
      <c r="F685" s="60"/>
      <c r="G685" s="61"/>
      <c r="H685" s="60"/>
      <c r="I685" s="61"/>
      <c r="J685" s="60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6"/>
      <c r="AB685" s="36"/>
      <c r="AC685" s="36"/>
      <c r="AD685" s="36"/>
      <c r="AE685" s="36"/>
      <c r="AF685" s="36"/>
      <c r="AG685" s="36"/>
      <c r="AH685" s="36"/>
      <c r="AI685" s="36"/>
    </row>
    <row r="686" spans="1:35" s="62" customFormat="1" ht="13.5" customHeight="1" x14ac:dyDescent="0.25">
      <c r="A686" s="60"/>
      <c r="B686" s="60"/>
      <c r="C686" s="60"/>
      <c r="D686" s="60"/>
      <c r="E686" s="60"/>
      <c r="F686" s="60"/>
      <c r="G686" s="61"/>
      <c r="H686" s="60"/>
      <c r="I686" s="61"/>
      <c r="J686" s="60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6"/>
      <c r="AB686" s="36"/>
      <c r="AC686" s="36"/>
      <c r="AD686" s="36"/>
      <c r="AE686" s="36"/>
      <c r="AF686" s="36"/>
      <c r="AG686" s="36"/>
      <c r="AH686" s="36"/>
      <c r="AI686" s="36"/>
    </row>
    <row r="687" spans="1:35" s="62" customFormat="1" ht="13.5" customHeight="1" x14ac:dyDescent="0.25">
      <c r="A687" s="60"/>
      <c r="B687" s="60"/>
      <c r="C687" s="60"/>
      <c r="D687" s="60"/>
      <c r="E687" s="60"/>
      <c r="F687" s="60"/>
      <c r="G687" s="61"/>
      <c r="H687" s="60"/>
      <c r="I687" s="61"/>
      <c r="J687" s="60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6"/>
      <c r="AB687" s="36"/>
      <c r="AC687" s="36"/>
      <c r="AD687" s="36"/>
      <c r="AE687" s="36"/>
      <c r="AF687" s="36"/>
      <c r="AG687" s="36"/>
      <c r="AH687" s="36"/>
      <c r="AI687" s="36"/>
    </row>
    <row r="688" spans="1:35" s="62" customFormat="1" ht="13.5" customHeight="1" x14ac:dyDescent="0.25">
      <c r="A688" s="60"/>
      <c r="B688" s="60"/>
      <c r="C688" s="60"/>
      <c r="D688" s="60"/>
      <c r="E688" s="60"/>
      <c r="F688" s="60"/>
      <c r="G688" s="61"/>
      <c r="H688" s="60"/>
      <c r="I688" s="61"/>
      <c r="J688" s="60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6"/>
      <c r="AB688" s="36"/>
      <c r="AC688" s="36"/>
      <c r="AD688" s="36"/>
      <c r="AE688" s="36"/>
      <c r="AF688" s="36"/>
      <c r="AG688" s="36"/>
      <c r="AH688" s="36"/>
      <c r="AI688" s="36"/>
    </row>
    <row r="689" spans="1:35" s="62" customFormat="1" ht="13.5" customHeight="1" x14ac:dyDescent="0.25">
      <c r="A689" s="60"/>
      <c r="B689" s="60"/>
      <c r="C689" s="60"/>
      <c r="D689" s="60"/>
      <c r="E689" s="60"/>
      <c r="F689" s="60"/>
      <c r="G689" s="61"/>
      <c r="H689" s="60"/>
      <c r="I689" s="61"/>
      <c r="J689" s="60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6"/>
      <c r="AB689" s="36"/>
      <c r="AC689" s="36"/>
      <c r="AD689" s="36"/>
      <c r="AE689" s="36"/>
      <c r="AF689" s="36"/>
      <c r="AG689" s="36"/>
      <c r="AH689" s="36"/>
      <c r="AI689" s="36"/>
    </row>
    <row r="690" spans="1:35" s="62" customFormat="1" ht="13.5" customHeight="1" x14ac:dyDescent="0.25">
      <c r="A690" s="60"/>
      <c r="B690" s="60"/>
      <c r="C690" s="60"/>
      <c r="D690" s="60"/>
      <c r="E690" s="60"/>
      <c r="F690" s="60"/>
      <c r="G690" s="61"/>
      <c r="H690" s="60"/>
      <c r="I690" s="61"/>
      <c r="J690" s="60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6"/>
      <c r="AB690" s="36"/>
      <c r="AC690" s="36"/>
      <c r="AD690" s="36"/>
      <c r="AE690" s="36"/>
      <c r="AF690" s="36"/>
      <c r="AG690" s="36"/>
      <c r="AH690" s="36"/>
      <c r="AI690" s="36"/>
    </row>
    <row r="691" spans="1:35" s="62" customFormat="1" ht="13.5" customHeight="1" x14ac:dyDescent="0.25">
      <c r="A691" s="60"/>
      <c r="B691" s="60"/>
      <c r="C691" s="60"/>
      <c r="D691" s="60"/>
      <c r="E691" s="60"/>
      <c r="F691" s="60"/>
      <c r="G691" s="61"/>
      <c r="H691" s="60"/>
      <c r="I691" s="61"/>
      <c r="J691" s="60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6"/>
      <c r="AB691" s="36"/>
      <c r="AC691" s="36"/>
      <c r="AD691" s="36"/>
      <c r="AE691" s="36"/>
      <c r="AF691" s="36"/>
      <c r="AG691" s="36"/>
      <c r="AH691" s="36"/>
      <c r="AI691" s="36"/>
    </row>
    <row r="692" spans="1:35" s="62" customFormat="1" ht="13.5" customHeight="1" x14ac:dyDescent="0.25">
      <c r="A692" s="60"/>
      <c r="B692" s="60"/>
      <c r="C692" s="60"/>
      <c r="D692" s="60"/>
      <c r="E692" s="60"/>
      <c r="F692" s="60"/>
      <c r="G692" s="61"/>
      <c r="H692" s="60"/>
      <c r="I692" s="61"/>
      <c r="J692" s="60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6"/>
      <c r="AB692" s="36"/>
      <c r="AC692" s="36"/>
      <c r="AD692" s="36"/>
      <c r="AE692" s="36"/>
      <c r="AF692" s="36"/>
      <c r="AG692" s="36"/>
      <c r="AH692" s="36"/>
      <c r="AI692" s="36"/>
    </row>
    <row r="693" spans="1:35" s="62" customFormat="1" ht="13.5" customHeight="1" x14ac:dyDescent="0.25">
      <c r="A693" s="60"/>
      <c r="B693" s="60"/>
      <c r="C693" s="60"/>
      <c r="D693" s="60"/>
      <c r="E693" s="60"/>
      <c r="F693" s="60"/>
      <c r="G693" s="61"/>
      <c r="H693" s="60"/>
      <c r="I693" s="61"/>
      <c r="J693" s="60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6"/>
      <c r="AB693" s="36"/>
      <c r="AC693" s="36"/>
      <c r="AD693" s="36"/>
      <c r="AE693" s="36"/>
      <c r="AF693" s="36"/>
      <c r="AG693" s="36"/>
      <c r="AH693" s="36"/>
      <c r="AI693" s="36"/>
    </row>
    <row r="694" spans="1:35" s="62" customFormat="1" ht="13.5" customHeight="1" x14ac:dyDescent="0.25">
      <c r="A694" s="60"/>
      <c r="B694" s="60"/>
      <c r="C694" s="60"/>
      <c r="D694" s="60"/>
      <c r="E694" s="60"/>
      <c r="F694" s="60"/>
      <c r="G694" s="61"/>
      <c r="H694" s="60"/>
      <c r="I694" s="61"/>
      <c r="J694" s="60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6"/>
      <c r="AB694" s="36"/>
      <c r="AC694" s="36"/>
      <c r="AD694" s="36"/>
      <c r="AE694" s="36"/>
      <c r="AF694" s="36"/>
      <c r="AG694" s="36"/>
      <c r="AH694" s="36"/>
      <c r="AI694" s="36"/>
    </row>
    <row r="695" spans="1:35" s="62" customFormat="1" ht="13.5" customHeight="1" x14ac:dyDescent="0.25">
      <c r="A695" s="60"/>
      <c r="B695" s="60"/>
      <c r="C695" s="60"/>
      <c r="D695" s="60"/>
      <c r="E695" s="60"/>
      <c r="F695" s="60"/>
      <c r="G695" s="61"/>
      <c r="H695" s="60"/>
      <c r="I695" s="61"/>
      <c r="J695" s="60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6"/>
      <c r="AB695" s="36"/>
      <c r="AC695" s="36"/>
      <c r="AD695" s="36"/>
      <c r="AE695" s="36"/>
      <c r="AF695" s="36"/>
      <c r="AG695" s="36"/>
      <c r="AH695" s="36"/>
      <c r="AI695" s="36"/>
    </row>
    <row r="696" spans="1:35" s="62" customFormat="1" ht="13.5" customHeight="1" x14ac:dyDescent="0.25">
      <c r="A696" s="60"/>
      <c r="B696" s="60"/>
      <c r="C696" s="60"/>
      <c r="D696" s="60"/>
      <c r="E696" s="60"/>
      <c r="F696" s="60"/>
      <c r="G696" s="61"/>
      <c r="H696" s="60"/>
      <c r="I696" s="61"/>
      <c r="J696" s="60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6"/>
      <c r="AB696" s="36"/>
      <c r="AC696" s="36"/>
      <c r="AD696" s="36"/>
      <c r="AE696" s="36"/>
      <c r="AF696" s="36"/>
      <c r="AG696" s="36"/>
      <c r="AH696" s="36"/>
      <c r="AI696" s="36"/>
    </row>
    <row r="697" spans="1:35" s="62" customFormat="1" ht="13.5" customHeight="1" x14ac:dyDescent="0.25">
      <c r="A697" s="60"/>
      <c r="B697" s="60"/>
      <c r="C697" s="60"/>
      <c r="D697" s="60"/>
      <c r="E697" s="60"/>
      <c r="F697" s="60"/>
      <c r="G697" s="61"/>
      <c r="H697" s="60"/>
      <c r="I697" s="61"/>
      <c r="J697" s="60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6"/>
      <c r="AB697" s="36"/>
      <c r="AC697" s="36"/>
      <c r="AD697" s="36"/>
      <c r="AE697" s="36"/>
      <c r="AF697" s="36"/>
      <c r="AG697" s="36"/>
      <c r="AH697" s="36"/>
      <c r="AI697" s="36"/>
    </row>
    <row r="698" spans="1:35" s="62" customFormat="1" ht="13.5" customHeight="1" x14ac:dyDescent="0.25">
      <c r="A698" s="60"/>
      <c r="B698" s="60"/>
      <c r="C698" s="60"/>
      <c r="D698" s="60"/>
      <c r="E698" s="60"/>
      <c r="F698" s="60"/>
      <c r="G698" s="61"/>
      <c r="H698" s="60"/>
      <c r="I698" s="61"/>
      <c r="J698" s="60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6"/>
      <c r="AB698" s="36"/>
      <c r="AC698" s="36"/>
      <c r="AD698" s="36"/>
      <c r="AE698" s="36"/>
      <c r="AF698" s="36"/>
      <c r="AG698" s="36"/>
      <c r="AH698" s="36"/>
      <c r="AI698" s="36"/>
    </row>
    <row r="699" spans="1:35" s="62" customFormat="1" ht="13.5" customHeight="1" x14ac:dyDescent="0.25">
      <c r="A699" s="60"/>
      <c r="B699" s="60"/>
      <c r="C699" s="60"/>
      <c r="D699" s="60"/>
      <c r="E699" s="60"/>
      <c r="F699" s="60"/>
      <c r="G699" s="61"/>
      <c r="H699" s="60"/>
      <c r="I699" s="61"/>
      <c r="J699" s="60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6"/>
      <c r="AB699" s="36"/>
      <c r="AC699" s="36"/>
      <c r="AD699" s="36"/>
      <c r="AE699" s="36"/>
      <c r="AF699" s="36"/>
      <c r="AG699" s="36"/>
      <c r="AH699" s="36"/>
      <c r="AI699" s="36"/>
    </row>
    <row r="700" spans="1:35" s="62" customFormat="1" ht="13.5" customHeight="1" x14ac:dyDescent="0.25">
      <c r="A700" s="60"/>
      <c r="B700" s="60"/>
      <c r="C700" s="60"/>
      <c r="D700" s="60"/>
      <c r="E700" s="60"/>
      <c r="F700" s="60"/>
      <c r="G700" s="61"/>
      <c r="H700" s="60"/>
      <c r="I700" s="61"/>
      <c r="J700" s="60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6"/>
      <c r="AB700" s="36"/>
      <c r="AC700" s="36"/>
      <c r="AD700" s="36"/>
      <c r="AE700" s="36"/>
      <c r="AF700" s="36"/>
      <c r="AG700" s="36"/>
      <c r="AH700" s="36"/>
      <c r="AI700" s="36"/>
    </row>
    <row r="701" spans="1:35" s="62" customFormat="1" ht="13.5" customHeight="1" x14ac:dyDescent="0.25">
      <c r="A701" s="60"/>
      <c r="B701" s="60"/>
      <c r="C701" s="60"/>
      <c r="D701" s="60"/>
      <c r="E701" s="60"/>
      <c r="F701" s="60"/>
      <c r="G701" s="61"/>
      <c r="H701" s="60"/>
      <c r="I701" s="61"/>
      <c r="J701" s="60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6"/>
      <c r="AB701" s="36"/>
      <c r="AC701" s="36"/>
      <c r="AD701" s="36"/>
      <c r="AE701" s="36"/>
      <c r="AF701" s="36"/>
      <c r="AG701" s="36"/>
      <c r="AH701" s="36"/>
      <c r="AI701" s="36"/>
    </row>
    <row r="702" spans="1:35" s="62" customFormat="1" ht="13.5" customHeight="1" x14ac:dyDescent="0.25">
      <c r="A702" s="60"/>
      <c r="B702" s="60"/>
      <c r="C702" s="60"/>
      <c r="D702" s="60"/>
      <c r="E702" s="60"/>
      <c r="F702" s="60"/>
      <c r="G702" s="61"/>
      <c r="H702" s="60"/>
      <c r="I702" s="61"/>
      <c r="J702" s="60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6"/>
      <c r="AB702" s="36"/>
      <c r="AC702" s="36"/>
      <c r="AD702" s="36"/>
      <c r="AE702" s="36"/>
      <c r="AF702" s="36"/>
      <c r="AG702" s="36"/>
      <c r="AH702" s="36"/>
      <c r="AI702" s="36"/>
    </row>
    <row r="703" spans="1:35" s="62" customFormat="1" ht="13.5" customHeight="1" x14ac:dyDescent="0.25">
      <c r="A703" s="60"/>
      <c r="B703" s="60"/>
      <c r="C703" s="60"/>
      <c r="D703" s="60"/>
      <c r="E703" s="60"/>
      <c r="F703" s="60"/>
      <c r="G703" s="61"/>
      <c r="H703" s="60"/>
      <c r="I703" s="61"/>
      <c r="J703" s="60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6"/>
      <c r="AB703" s="36"/>
      <c r="AC703" s="36"/>
      <c r="AD703" s="36"/>
      <c r="AE703" s="36"/>
      <c r="AF703" s="36"/>
      <c r="AG703" s="36"/>
      <c r="AH703" s="36"/>
      <c r="AI703" s="36"/>
    </row>
    <row r="704" spans="1:35" s="62" customFormat="1" ht="13.5" customHeight="1" x14ac:dyDescent="0.25">
      <c r="A704" s="60"/>
      <c r="B704" s="60"/>
      <c r="C704" s="60"/>
      <c r="D704" s="60"/>
      <c r="E704" s="60"/>
      <c r="F704" s="60"/>
      <c r="G704" s="61"/>
      <c r="H704" s="60"/>
      <c r="I704" s="61"/>
      <c r="J704" s="60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6"/>
      <c r="AB704" s="36"/>
      <c r="AC704" s="36"/>
      <c r="AD704" s="36"/>
      <c r="AE704" s="36"/>
      <c r="AF704" s="36"/>
      <c r="AG704" s="36"/>
      <c r="AH704" s="36"/>
      <c r="AI704" s="36"/>
    </row>
    <row r="705" spans="1:35" s="62" customFormat="1" ht="13.5" customHeight="1" x14ac:dyDescent="0.25">
      <c r="A705" s="60"/>
      <c r="B705" s="60"/>
      <c r="C705" s="60"/>
      <c r="D705" s="60"/>
      <c r="E705" s="60"/>
      <c r="F705" s="60"/>
      <c r="G705" s="61"/>
      <c r="H705" s="60"/>
      <c r="I705" s="61"/>
      <c r="J705" s="60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6"/>
      <c r="AB705" s="36"/>
      <c r="AC705" s="36"/>
      <c r="AD705" s="36"/>
      <c r="AE705" s="36"/>
      <c r="AF705" s="36"/>
      <c r="AG705" s="36"/>
      <c r="AH705" s="36"/>
      <c r="AI705" s="36"/>
    </row>
    <row r="706" spans="1:35" s="62" customFormat="1" ht="13.5" customHeight="1" x14ac:dyDescent="0.25">
      <c r="A706" s="60"/>
      <c r="B706" s="60"/>
      <c r="C706" s="60"/>
      <c r="D706" s="60"/>
      <c r="E706" s="60"/>
      <c r="F706" s="60"/>
      <c r="G706" s="61"/>
      <c r="H706" s="60"/>
      <c r="I706" s="61"/>
      <c r="J706" s="60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6"/>
      <c r="AB706" s="36"/>
      <c r="AC706" s="36"/>
      <c r="AD706" s="36"/>
      <c r="AE706" s="36"/>
      <c r="AF706" s="36"/>
      <c r="AG706" s="36"/>
      <c r="AH706" s="36"/>
      <c r="AI706" s="36"/>
    </row>
    <row r="707" spans="1:35" s="62" customFormat="1" ht="13.5" customHeight="1" x14ac:dyDescent="0.25">
      <c r="A707" s="60"/>
      <c r="B707" s="60"/>
      <c r="C707" s="60"/>
      <c r="D707" s="60"/>
      <c r="E707" s="60"/>
      <c r="F707" s="60"/>
      <c r="G707" s="61"/>
      <c r="H707" s="60"/>
      <c r="I707" s="61"/>
      <c r="J707" s="60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6"/>
      <c r="AB707" s="36"/>
      <c r="AC707" s="36"/>
      <c r="AD707" s="36"/>
      <c r="AE707" s="36"/>
      <c r="AF707" s="36"/>
      <c r="AG707" s="36"/>
      <c r="AH707" s="36"/>
      <c r="AI707" s="36"/>
    </row>
    <row r="708" spans="1:35" s="62" customFormat="1" ht="13.5" customHeight="1" x14ac:dyDescent="0.25">
      <c r="A708" s="60"/>
      <c r="B708" s="60"/>
      <c r="C708" s="60"/>
      <c r="D708" s="60"/>
      <c r="E708" s="60"/>
      <c r="F708" s="60"/>
      <c r="G708" s="61"/>
      <c r="H708" s="60"/>
      <c r="I708" s="61"/>
      <c r="J708" s="60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6"/>
      <c r="AB708" s="36"/>
      <c r="AC708" s="36"/>
      <c r="AD708" s="36"/>
      <c r="AE708" s="36"/>
      <c r="AF708" s="36"/>
      <c r="AG708" s="36"/>
      <c r="AH708" s="36"/>
      <c r="AI708" s="36"/>
    </row>
    <row r="709" spans="1:35" s="62" customFormat="1" ht="13.5" customHeight="1" x14ac:dyDescent="0.25">
      <c r="A709" s="60"/>
      <c r="B709" s="60"/>
      <c r="C709" s="60"/>
      <c r="D709" s="60"/>
      <c r="E709" s="60"/>
      <c r="F709" s="60"/>
      <c r="G709" s="61"/>
      <c r="H709" s="60"/>
      <c r="I709" s="61"/>
      <c r="J709" s="60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6"/>
      <c r="AB709" s="36"/>
      <c r="AC709" s="36"/>
      <c r="AD709" s="36"/>
      <c r="AE709" s="36"/>
      <c r="AF709" s="36"/>
      <c r="AG709" s="36"/>
      <c r="AH709" s="36"/>
      <c r="AI709" s="36"/>
    </row>
    <row r="710" spans="1:35" s="62" customFormat="1" ht="13.5" customHeight="1" x14ac:dyDescent="0.25">
      <c r="A710" s="60"/>
      <c r="B710" s="60"/>
      <c r="C710" s="60"/>
      <c r="D710" s="60"/>
      <c r="E710" s="60"/>
      <c r="F710" s="60"/>
      <c r="G710" s="61"/>
      <c r="H710" s="60"/>
      <c r="I710" s="61"/>
      <c r="J710" s="60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6"/>
      <c r="AB710" s="36"/>
      <c r="AC710" s="36"/>
      <c r="AD710" s="36"/>
      <c r="AE710" s="36"/>
      <c r="AF710" s="36"/>
      <c r="AG710" s="36"/>
      <c r="AH710" s="36"/>
      <c r="AI710" s="36"/>
    </row>
    <row r="711" spans="1:35" s="62" customFormat="1" ht="13.5" customHeight="1" x14ac:dyDescent="0.25">
      <c r="A711" s="60"/>
      <c r="B711" s="60"/>
      <c r="C711" s="60"/>
      <c r="D711" s="60"/>
      <c r="E711" s="60"/>
      <c r="F711" s="60"/>
      <c r="G711" s="61"/>
      <c r="H711" s="60"/>
      <c r="I711" s="61"/>
      <c r="J711" s="60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6"/>
      <c r="AB711" s="36"/>
      <c r="AC711" s="36"/>
      <c r="AD711" s="36"/>
      <c r="AE711" s="36"/>
      <c r="AF711" s="36"/>
      <c r="AG711" s="36"/>
      <c r="AH711" s="36"/>
      <c r="AI711" s="36"/>
    </row>
    <row r="712" spans="1:35" s="62" customFormat="1" ht="13.5" customHeight="1" x14ac:dyDescent="0.25">
      <c r="A712" s="60"/>
      <c r="B712" s="60"/>
      <c r="C712" s="60"/>
      <c r="D712" s="60"/>
      <c r="E712" s="60"/>
      <c r="F712" s="60"/>
      <c r="G712" s="61"/>
      <c r="H712" s="60"/>
      <c r="I712" s="61"/>
      <c r="J712" s="60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6"/>
      <c r="AB712" s="36"/>
      <c r="AC712" s="36"/>
      <c r="AD712" s="36"/>
      <c r="AE712" s="36"/>
      <c r="AF712" s="36"/>
      <c r="AG712" s="36"/>
      <c r="AH712" s="36"/>
      <c r="AI712" s="36"/>
    </row>
    <row r="713" spans="1:35" s="62" customFormat="1" ht="13.5" customHeight="1" x14ac:dyDescent="0.25">
      <c r="A713" s="60"/>
      <c r="B713" s="60"/>
      <c r="C713" s="60"/>
      <c r="D713" s="60"/>
      <c r="E713" s="60"/>
      <c r="F713" s="60"/>
      <c r="G713" s="61"/>
      <c r="H713" s="60"/>
      <c r="I713" s="61"/>
      <c r="J713" s="60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6"/>
      <c r="AB713" s="36"/>
      <c r="AC713" s="36"/>
      <c r="AD713" s="36"/>
      <c r="AE713" s="36"/>
      <c r="AF713" s="36"/>
      <c r="AG713" s="36"/>
      <c r="AH713" s="36"/>
      <c r="AI713" s="36"/>
    </row>
    <row r="714" spans="1:35" s="62" customFormat="1" ht="13.5" customHeight="1" x14ac:dyDescent="0.25">
      <c r="A714" s="60"/>
      <c r="B714" s="60"/>
      <c r="C714" s="60"/>
      <c r="D714" s="60"/>
      <c r="E714" s="60"/>
      <c r="F714" s="60"/>
      <c r="G714" s="61"/>
      <c r="H714" s="60"/>
      <c r="I714" s="61"/>
      <c r="J714" s="60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6"/>
      <c r="AB714" s="36"/>
      <c r="AC714" s="36"/>
      <c r="AD714" s="36"/>
      <c r="AE714" s="36"/>
      <c r="AF714" s="36"/>
      <c r="AG714" s="36"/>
      <c r="AH714" s="36"/>
      <c r="AI714" s="36"/>
    </row>
    <row r="715" spans="1:35" s="62" customFormat="1" ht="13.5" customHeight="1" x14ac:dyDescent="0.25">
      <c r="A715" s="60"/>
      <c r="B715" s="60"/>
      <c r="C715" s="60"/>
      <c r="D715" s="60"/>
      <c r="E715" s="60"/>
      <c r="F715" s="60"/>
      <c r="G715" s="61"/>
      <c r="H715" s="60"/>
      <c r="I715" s="61"/>
      <c r="J715" s="60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6"/>
      <c r="AB715" s="36"/>
      <c r="AC715" s="36"/>
      <c r="AD715" s="36"/>
      <c r="AE715" s="36"/>
      <c r="AF715" s="36"/>
      <c r="AG715" s="36"/>
      <c r="AH715" s="36"/>
      <c r="AI715" s="36"/>
    </row>
    <row r="716" spans="1:35" s="62" customFormat="1" ht="13.5" customHeight="1" x14ac:dyDescent="0.25">
      <c r="A716" s="60"/>
      <c r="B716" s="60"/>
      <c r="C716" s="60"/>
      <c r="D716" s="60"/>
      <c r="E716" s="60"/>
      <c r="F716" s="60"/>
      <c r="G716" s="61"/>
      <c r="H716" s="60"/>
      <c r="I716" s="61"/>
      <c r="J716" s="60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6"/>
      <c r="AB716" s="36"/>
      <c r="AC716" s="36"/>
      <c r="AD716" s="36"/>
      <c r="AE716" s="36"/>
      <c r="AF716" s="36"/>
      <c r="AG716" s="36"/>
      <c r="AH716" s="36"/>
      <c r="AI716" s="36"/>
    </row>
    <row r="717" spans="1:35" s="62" customFormat="1" ht="13.5" customHeight="1" x14ac:dyDescent="0.25">
      <c r="A717" s="60"/>
      <c r="B717" s="60"/>
      <c r="C717" s="60"/>
      <c r="D717" s="60"/>
      <c r="E717" s="60"/>
      <c r="F717" s="60"/>
      <c r="G717" s="61"/>
      <c r="H717" s="60"/>
      <c r="I717" s="61"/>
      <c r="J717" s="60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6"/>
      <c r="AB717" s="36"/>
      <c r="AC717" s="36"/>
      <c r="AD717" s="36"/>
      <c r="AE717" s="36"/>
      <c r="AF717" s="36"/>
      <c r="AG717" s="36"/>
      <c r="AH717" s="36"/>
      <c r="AI717" s="36"/>
    </row>
    <row r="718" spans="1:35" s="62" customFormat="1" ht="13.5" customHeight="1" x14ac:dyDescent="0.25">
      <c r="A718" s="60"/>
      <c r="B718" s="60"/>
      <c r="C718" s="60"/>
      <c r="D718" s="60"/>
      <c r="E718" s="60"/>
      <c r="F718" s="60"/>
      <c r="G718" s="61"/>
      <c r="H718" s="60"/>
      <c r="I718" s="61"/>
      <c r="J718" s="60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6"/>
      <c r="AB718" s="36"/>
      <c r="AC718" s="36"/>
      <c r="AD718" s="36"/>
      <c r="AE718" s="36"/>
      <c r="AF718" s="36"/>
      <c r="AG718" s="36"/>
      <c r="AH718" s="36"/>
      <c r="AI718" s="36"/>
    </row>
    <row r="719" spans="1:35" s="62" customFormat="1" ht="13.5" customHeight="1" x14ac:dyDescent="0.25">
      <c r="A719" s="60"/>
      <c r="B719" s="60"/>
      <c r="C719" s="60"/>
      <c r="D719" s="60"/>
      <c r="E719" s="60"/>
      <c r="F719" s="60"/>
      <c r="G719" s="61"/>
      <c r="H719" s="60"/>
      <c r="I719" s="61"/>
      <c r="J719" s="60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6"/>
      <c r="AB719" s="36"/>
      <c r="AC719" s="36"/>
      <c r="AD719" s="36"/>
      <c r="AE719" s="36"/>
      <c r="AF719" s="36"/>
      <c r="AG719" s="36"/>
      <c r="AH719" s="36"/>
      <c r="AI719" s="36"/>
    </row>
    <row r="720" spans="1:35" s="62" customFormat="1" ht="13.5" customHeight="1" x14ac:dyDescent="0.25">
      <c r="A720" s="60"/>
      <c r="B720" s="60"/>
      <c r="C720" s="60"/>
      <c r="D720" s="60"/>
      <c r="E720" s="60"/>
      <c r="F720" s="60"/>
      <c r="G720" s="61"/>
      <c r="H720" s="60"/>
      <c r="I720" s="61"/>
      <c r="J720" s="60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6"/>
      <c r="AB720" s="36"/>
      <c r="AC720" s="36"/>
      <c r="AD720" s="36"/>
      <c r="AE720" s="36"/>
      <c r="AF720" s="36"/>
      <c r="AG720" s="36"/>
      <c r="AH720" s="36"/>
      <c r="AI720" s="36"/>
    </row>
    <row r="721" spans="1:35" s="62" customFormat="1" ht="13.5" customHeight="1" x14ac:dyDescent="0.25">
      <c r="A721" s="60"/>
      <c r="B721" s="60"/>
      <c r="C721" s="60"/>
      <c r="D721" s="60"/>
      <c r="E721" s="60"/>
      <c r="F721" s="60"/>
      <c r="G721" s="61"/>
      <c r="H721" s="60"/>
      <c r="I721" s="61"/>
      <c r="J721" s="60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6"/>
      <c r="AB721" s="36"/>
      <c r="AC721" s="36"/>
      <c r="AD721" s="36"/>
      <c r="AE721" s="36"/>
      <c r="AF721" s="36"/>
      <c r="AG721" s="36"/>
      <c r="AH721" s="36"/>
      <c r="AI721" s="36"/>
    </row>
    <row r="722" spans="1:35" s="62" customFormat="1" ht="13.5" customHeight="1" x14ac:dyDescent="0.25">
      <c r="A722" s="60"/>
      <c r="B722" s="60"/>
      <c r="C722" s="60"/>
      <c r="D722" s="60"/>
      <c r="E722" s="60"/>
      <c r="F722" s="60"/>
      <c r="G722" s="61"/>
      <c r="H722" s="60"/>
      <c r="I722" s="61"/>
      <c r="J722" s="60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6"/>
      <c r="AB722" s="36"/>
      <c r="AC722" s="36"/>
      <c r="AD722" s="36"/>
      <c r="AE722" s="36"/>
      <c r="AF722" s="36"/>
      <c r="AG722" s="36"/>
      <c r="AH722" s="36"/>
      <c r="AI722" s="36"/>
    </row>
    <row r="723" spans="1:35" s="62" customFormat="1" ht="13.5" customHeight="1" x14ac:dyDescent="0.25">
      <c r="A723" s="60"/>
      <c r="B723" s="60"/>
      <c r="C723" s="60"/>
      <c r="D723" s="60"/>
      <c r="E723" s="60"/>
      <c r="F723" s="60"/>
      <c r="G723" s="61"/>
      <c r="H723" s="60"/>
      <c r="I723" s="61"/>
      <c r="J723" s="60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6"/>
      <c r="AB723" s="36"/>
      <c r="AC723" s="36"/>
      <c r="AD723" s="36"/>
      <c r="AE723" s="36"/>
      <c r="AF723" s="36"/>
      <c r="AG723" s="36"/>
      <c r="AH723" s="36"/>
      <c r="AI723" s="36"/>
    </row>
    <row r="724" spans="1:35" s="62" customFormat="1" ht="13.5" customHeight="1" x14ac:dyDescent="0.25">
      <c r="A724" s="60"/>
      <c r="B724" s="60"/>
      <c r="C724" s="60"/>
      <c r="D724" s="60"/>
      <c r="E724" s="60"/>
      <c r="F724" s="60"/>
      <c r="G724" s="61"/>
      <c r="H724" s="60"/>
      <c r="I724" s="61"/>
      <c r="J724" s="60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6"/>
      <c r="AB724" s="36"/>
      <c r="AC724" s="36"/>
      <c r="AD724" s="36"/>
      <c r="AE724" s="36"/>
      <c r="AF724" s="36"/>
      <c r="AG724" s="36"/>
      <c r="AH724" s="36"/>
      <c r="AI724" s="36"/>
    </row>
    <row r="725" spans="1:35" s="62" customFormat="1" ht="13.5" customHeight="1" x14ac:dyDescent="0.25">
      <c r="A725" s="60"/>
      <c r="B725" s="60"/>
      <c r="C725" s="60"/>
      <c r="D725" s="60"/>
      <c r="E725" s="60"/>
      <c r="F725" s="60"/>
      <c r="G725" s="61"/>
      <c r="H725" s="60"/>
      <c r="I725" s="61"/>
      <c r="J725" s="60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6"/>
      <c r="AB725" s="36"/>
      <c r="AC725" s="36"/>
      <c r="AD725" s="36"/>
      <c r="AE725" s="36"/>
      <c r="AF725" s="36"/>
      <c r="AG725" s="36"/>
      <c r="AH725" s="36"/>
      <c r="AI725" s="36"/>
    </row>
    <row r="726" spans="1:35" s="62" customFormat="1" ht="13.5" customHeight="1" x14ac:dyDescent="0.25">
      <c r="A726" s="60"/>
      <c r="B726" s="60"/>
      <c r="C726" s="60"/>
      <c r="D726" s="60"/>
      <c r="E726" s="60"/>
      <c r="F726" s="60"/>
      <c r="G726" s="61"/>
      <c r="H726" s="60"/>
      <c r="I726" s="61"/>
      <c r="J726" s="60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6"/>
      <c r="AB726" s="36"/>
      <c r="AC726" s="36"/>
      <c r="AD726" s="36"/>
      <c r="AE726" s="36"/>
      <c r="AF726" s="36"/>
      <c r="AG726" s="36"/>
      <c r="AH726" s="36"/>
      <c r="AI726" s="36"/>
    </row>
    <row r="727" spans="1:35" s="62" customFormat="1" ht="13.5" customHeight="1" x14ac:dyDescent="0.25">
      <c r="A727" s="60"/>
      <c r="B727" s="60"/>
      <c r="C727" s="60"/>
      <c r="D727" s="60"/>
      <c r="E727" s="60"/>
      <c r="F727" s="60"/>
      <c r="G727" s="61"/>
      <c r="H727" s="60"/>
      <c r="I727" s="61"/>
      <c r="J727" s="60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6"/>
      <c r="AB727" s="36"/>
      <c r="AC727" s="36"/>
      <c r="AD727" s="36"/>
      <c r="AE727" s="36"/>
      <c r="AF727" s="36"/>
      <c r="AG727" s="36"/>
      <c r="AH727" s="36"/>
      <c r="AI727" s="36"/>
    </row>
    <row r="728" spans="1:35" s="62" customFormat="1" ht="13.5" customHeight="1" x14ac:dyDescent="0.25">
      <c r="A728" s="60"/>
      <c r="B728" s="60"/>
      <c r="C728" s="60"/>
      <c r="D728" s="60"/>
      <c r="E728" s="60"/>
      <c r="F728" s="60"/>
      <c r="G728" s="61"/>
      <c r="H728" s="60"/>
      <c r="I728" s="61"/>
      <c r="J728" s="60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6"/>
      <c r="AB728" s="36"/>
      <c r="AC728" s="36"/>
      <c r="AD728" s="36"/>
      <c r="AE728" s="36"/>
      <c r="AF728" s="36"/>
      <c r="AG728" s="36"/>
      <c r="AH728" s="36"/>
      <c r="AI728" s="36"/>
    </row>
    <row r="729" spans="1:35" s="62" customFormat="1" ht="13.5" customHeight="1" x14ac:dyDescent="0.25">
      <c r="A729" s="60"/>
      <c r="B729" s="60"/>
      <c r="C729" s="60"/>
      <c r="D729" s="60"/>
      <c r="E729" s="60"/>
      <c r="F729" s="60"/>
      <c r="G729" s="61"/>
      <c r="H729" s="60"/>
      <c r="I729" s="61"/>
      <c r="J729" s="60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6"/>
      <c r="AB729" s="36"/>
      <c r="AC729" s="36"/>
      <c r="AD729" s="36"/>
      <c r="AE729" s="36"/>
      <c r="AF729" s="36"/>
      <c r="AG729" s="36"/>
      <c r="AH729" s="36"/>
      <c r="AI729" s="36"/>
    </row>
    <row r="730" spans="1:35" s="62" customFormat="1" ht="13.5" customHeight="1" x14ac:dyDescent="0.25">
      <c r="A730" s="60"/>
      <c r="B730" s="60"/>
      <c r="C730" s="60"/>
      <c r="D730" s="60"/>
      <c r="E730" s="60"/>
      <c r="F730" s="60"/>
      <c r="G730" s="61"/>
      <c r="H730" s="60"/>
      <c r="I730" s="61"/>
      <c r="J730" s="60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6"/>
      <c r="AB730" s="36"/>
      <c r="AC730" s="36"/>
      <c r="AD730" s="36"/>
      <c r="AE730" s="36"/>
      <c r="AF730" s="36"/>
      <c r="AG730" s="36"/>
      <c r="AH730" s="36"/>
      <c r="AI730" s="36"/>
    </row>
    <row r="731" spans="1:35" s="62" customFormat="1" ht="13.5" customHeight="1" x14ac:dyDescent="0.25">
      <c r="A731" s="60"/>
      <c r="B731" s="60"/>
      <c r="C731" s="60"/>
      <c r="D731" s="60"/>
      <c r="E731" s="60"/>
      <c r="F731" s="60"/>
      <c r="G731" s="61"/>
      <c r="H731" s="60"/>
      <c r="I731" s="61"/>
      <c r="J731" s="60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6"/>
      <c r="AB731" s="36"/>
      <c r="AC731" s="36"/>
      <c r="AD731" s="36"/>
      <c r="AE731" s="36"/>
      <c r="AF731" s="36"/>
      <c r="AG731" s="36"/>
      <c r="AH731" s="36"/>
      <c r="AI731" s="36"/>
    </row>
    <row r="732" spans="1:35" s="62" customFormat="1" ht="13.5" customHeight="1" x14ac:dyDescent="0.25">
      <c r="A732" s="60"/>
      <c r="B732" s="60"/>
      <c r="C732" s="60"/>
      <c r="D732" s="60"/>
      <c r="E732" s="60"/>
      <c r="F732" s="60"/>
      <c r="G732" s="61"/>
      <c r="H732" s="60"/>
      <c r="I732" s="61"/>
      <c r="J732" s="60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6"/>
      <c r="AB732" s="36"/>
      <c r="AC732" s="36"/>
      <c r="AD732" s="36"/>
      <c r="AE732" s="36"/>
      <c r="AF732" s="36"/>
      <c r="AG732" s="36"/>
      <c r="AH732" s="36"/>
      <c r="AI732" s="36"/>
    </row>
    <row r="733" spans="1:35" s="62" customFormat="1" ht="13.5" customHeight="1" x14ac:dyDescent="0.25">
      <c r="A733" s="60"/>
      <c r="B733" s="60"/>
      <c r="C733" s="60"/>
      <c r="D733" s="60"/>
      <c r="E733" s="60"/>
      <c r="F733" s="60"/>
      <c r="G733" s="61"/>
      <c r="H733" s="60"/>
      <c r="I733" s="61"/>
      <c r="J733" s="60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6"/>
      <c r="AB733" s="36"/>
      <c r="AC733" s="36"/>
      <c r="AD733" s="36"/>
      <c r="AE733" s="36"/>
      <c r="AF733" s="36"/>
      <c r="AG733" s="36"/>
      <c r="AH733" s="36"/>
      <c r="AI733" s="36"/>
    </row>
    <row r="734" spans="1:35" s="62" customFormat="1" ht="13.5" customHeight="1" x14ac:dyDescent="0.25">
      <c r="A734" s="60"/>
      <c r="B734" s="60"/>
      <c r="C734" s="60"/>
      <c r="D734" s="60"/>
      <c r="E734" s="60"/>
      <c r="F734" s="60"/>
      <c r="G734" s="61"/>
      <c r="H734" s="60"/>
      <c r="I734" s="61"/>
      <c r="J734" s="60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6"/>
      <c r="AB734" s="36"/>
      <c r="AC734" s="36"/>
      <c r="AD734" s="36"/>
      <c r="AE734" s="36"/>
      <c r="AF734" s="36"/>
      <c r="AG734" s="36"/>
      <c r="AH734" s="36"/>
      <c r="AI734" s="36"/>
    </row>
    <row r="735" spans="1:35" s="62" customFormat="1" ht="13.5" customHeight="1" x14ac:dyDescent="0.25">
      <c r="A735" s="60"/>
      <c r="B735" s="60"/>
      <c r="C735" s="60"/>
      <c r="D735" s="60"/>
      <c r="E735" s="60"/>
      <c r="F735" s="60"/>
      <c r="G735" s="61"/>
      <c r="H735" s="60"/>
      <c r="I735" s="61"/>
      <c r="J735" s="60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6"/>
      <c r="AB735" s="36"/>
      <c r="AC735" s="36"/>
      <c r="AD735" s="36"/>
      <c r="AE735" s="36"/>
      <c r="AF735" s="36"/>
      <c r="AG735" s="36"/>
      <c r="AH735" s="36"/>
      <c r="AI735" s="36"/>
    </row>
    <row r="736" spans="1:35" s="62" customFormat="1" ht="13.5" customHeight="1" x14ac:dyDescent="0.25">
      <c r="A736" s="60"/>
      <c r="B736" s="60"/>
      <c r="C736" s="60"/>
      <c r="D736" s="60"/>
      <c r="E736" s="60"/>
      <c r="F736" s="60"/>
      <c r="G736" s="61"/>
      <c r="H736" s="60"/>
      <c r="I736" s="61"/>
      <c r="J736" s="60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6"/>
      <c r="AB736" s="36"/>
      <c r="AC736" s="36"/>
      <c r="AD736" s="36"/>
      <c r="AE736" s="36"/>
      <c r="AF736" s="36"/>
      <c r="AG736" s="36"/>
      <c r="AH736" s="36"/>
      <c r="AI736" s="36"/>
    </row>
    <row r="737" spans="1:35" s="62" customFormat="1" ht="13.5" customHeight="1" x14ac:dyDescent="0.25">
      <c r="A737" s="60"/>
      <c r="B737" s="60"/>
      <c r="C737" s="60"/>
      <c r="D737" s="60"/>
      <c r="E737" s="60"/>
      <c r="F737" s="60"/>
      <c r="G737" s="61"/>
      <c r="H737" s="60"/>
      <c r="I737" s="61"/>
      <c r="J737" s="60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6"/>
      <c r="AB737" s="36"/>
      <c r="AC737" s="36"/>
      <c r="AD737" s="36"/>
      <c r="AE737" s="36"/>
      <c r="AF737" s="36"/>
      <c r="AG737" s="36"/>
      <c r="AH737" s="36"/>
      <c r="AI737" s="36"/>
    </row>
    <row r="738" spans="1:35" s="62" customFormat="1" ht="13.5" customHeight="1" x14ac:dyDescent="0.25">
      <c r="A738" s="60"/>
      <c r="B738" s="60"/>
      <c r="C738" s="60"/>
      <c r="D738" s="60"/>
      <c r="E738" s="60"/>
      <c r="F738" s="60"/>
      <c r="G738" s="61"/>
      <c r="H738" s="60"/>
      <c r="I738" s="61"/>
      <c r="J738" s="60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6"/>
      <c r="AB738" s="36"/>
      <c r="AC738" s="36"/>
      <c r="AD738" s="36"/>
      <c r="AE738" s="36"/>
      <c r="AF738" s="36"/>
      <c r="AG738" s="36"/>
      <c r="AH738" s="36"/>
      <c r="AI738" s="36"/>
    </row>
    <row r="739" spans="1:35" s="62" customFormat="1" ht="13.5" customHeight="1" x14ac:dyDescent="0.25">
      <c r="A739" s="60"/>
      <c r="B739" s="60"/>
      <c r="C739" s="60"/>
      <c r="D739" s="60"/>
      <c r="E739" s="60"/>
      <c r="F739" s="60"/>
      <c r="G739" s="61"/>
      <c r="H739" s="60"/>
      <c r="I739" s="61"/>
      <c r="J739" s="60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6"/>
      <c r="AB739" s="36"/>
      <c r="AC739" s="36"/>
      <c r="AD739" s="36"/>
      <c r="AE739" s="36"/>
      <c r="AF739" s="36"/>
      <c r="AG739" s="36"/>
      <c r="AH739" s="36"/>
      <c r="AI739" s="36"/>
    </row>
    <row r="740" spans="1:35" s="62" customFormat="1" ht="13.5" customHeight="1" x14ac:dyDescent="0.25">
      <c r="A740" s="60"/>
      <c r="B740" s="60"/>
      <c r="C740" s="60"/>
      <c r="D740" s="60"/>
      <c r="E740" s="60"/>
      <c r="F740" s="60"/>
      <c r="G740" s="61"/>
      <c r="H740" s="60"/>
      <c r="I740" s="61"/>
      <c r="J740" s="60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6"/>
      <c r="AB740" s="36"/>
      <c r="AC740" s="36"/>
      <c r="AD740" s="36"/>
      <c r="AE740" s="36"/>
      <c r="AF740" s="36"/>
      <c r="AG740" s="36"/>
      <c r="AH740" s="36"/>
      <c r="AI740" s="36"/>
    </row>
    <row r="741" spans="1:35" s="62" customFormat="1" ht="13.5" customHeight="1" x14ac:dyDescent="0.25">
      <c r="A741" s="60"/>
      <c r="B741" s="60"/>
      <c r="C741" s="60"/>
      <c r="D741" s="60"/>
      <c r="E741" s="60"/>
      <c r="F741" s="60"/>
      <c r="G741" s="61"/>
      <c r="H741" s="60"/>
      <c r="I741" s="61"/>
      <c r="J741" s="60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6"/>
      <c r="AB741" s="36"/>
      <c r="AC741" s="36"/>
      <c r="AD741" s="36"/>
      <c r="AE741" s="36"/>
      <c r="AF741" s="36"/>
      <c r="AG741" s="36"/>
      <c r="AH741" s="36"/>
      <c r="AI741" s="36"/>
    </row>
    <row r="742" spans="1:35" s="62" customFormat="1" ht="13.5" customHeight="1" x14ac:dyDescent="0.25">
      <c r="A742" s="60"/>
      <c r="B742" s="60"/>
      <c r="C742" s="60"/>
      <c r="D742" s="60"/>
      <c r="E742" s="60"/>
      <c r="F742" s="60"/>
      <c r="G742" s="61"/>
      <c r="H742" s="60"/>
      <c r="I742" s="61"/>
      <c r="J742" s="60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6"/>
      <c r="AB742" s="36"/>
      <c r="AC742" s="36"/>
      <c r="AD742" s="36"/>
      <c r="AE742" s="36"/>
      <c r="AF742" s="36"/>
      <c r="AG742" s="36"/>
      <c r="AH742" s="36"/>
      <c r="AI742" s="36"/>
    </row>
    <row r="743" spans="1:35" s="62" customFormat="1" ht="13.5" customHeight="1" x14ac:dyDescent="0.25">
      <c r="A743" s="60"/>
      <c r="B743" s="60"/>
      <c r="C743" s="60"/>
      <c r="D743" s="60"/>
      <c r="E743" s="60"/>
      <c r="F743" s="60"/>
      <c r="G743" s="61"/>
      <c r="H743" s="60"/>
      <c r="I743" s="61"/>
      <c r="J743" s="60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6"/>
      <c r="AB743" s="36"/>
      <c r="AC743" s="36"/>
      <c r="AD743" s="36"/>
      <c r="AE743" s="36"/>
      <c r="AF743" s="36"/>
      <c r="AG743" s="36"/>
      <c r="AH743" s="36"/>
      <c r="AI743" s="36"/>
    </row>
    <row r="744" spans="1:35" s="62" customFormat="1" ht="13.5" customHeight="1" x14ac:dyDescent="0.25">
      <c r="A744" s="60"/>
      <c r="B744" s="60"/>
      <c r="C744" s="60"/>
      <c r="D744" s="60"/>
      <c r="E744" s="60"/>
      <c r="F744" s="60"/>
      <c r="G744" s="61"/>
      <c r="H744" s="60"/>
      <c r="I744" s="61"/>
      <c r="J744" s="60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6"/>
      <c r="AB744" s="36"/>
      <c r="AC744" s="36"/>
      <c r="AD744" s="36"/>
      <c r="AE744" s="36"/>
      <c r="AF744" s="36"/>
      <c r="AG744" s="36"/>
      <c r="AH744" s="36"/>
      <c r="AI744" s="36"/>
    </row>
    <row r="745" spans="1:35" s="62" customFormat="1" ht="13.5" customHeight="1" x14ac:dyDescent="0.25">
      <c r="A745" s="60"/>
      <c r="B745" s="60"/>
      <c r="C745" s="60"/>
      <c r="D745" s="60"/>
      <c r="E745" s="60"/>
      <c r="F745" s="60"/>
      <c r="G745" s="61"/>
      <c r="H745" s="60"/>
      <c r="I745" s="61"/>
      <c r="J745" s="60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6"/>
      <c r="AB745" s="36"/>
      <c r="AC745" s="36"/>
      <c r="AD745" s="36"/>
      <c r="AE745" s="36"/>
      <c r="AF745" s="36"/>
      <c r="AG745" s="36"/>
      <c r="AH745" s="36"/>
      <c r="AI745" s="36"/>
    </row>
    <row r="746" spans="1:35" s="62" customFormat="1" ht="13.5" customHeight="1" x14ac:dyDescent="0.25">
      <c r="A746" s="60"/>
      <c r="B746" s="60"/>
      <c r="C746" s="60"/>
      <c r="D746" s="60"/>
      <c r="E746" s="60"/>
      <c r="F746" s="60"/>
      <c r="G746" s="61"/>
      <c r="H746" s="60"/>
      <c r="I746" s="61"/>
      <c r="J746" s="60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6"/>
      <c r="AB746" s="36"/>
      <c r="AC746" s="36"/>
      <c r="AD746" s="36"/>
      <c r="AE746" s="36"/>
      <c r="AF746" s="36"/>
      <c r="AG746" s="36"/>
      <c r="AH746" s="36"/>
      <c r="AI746" s="36"/>
    </row>
    <row r="747" spans="1:35" s="62" customFormat="1" ht="13.5" customHeight="1" x14ac:dyDescent="0.25">
      <c r="A747" s="60"/>
      <c r="B747" s="60"/>
      <c r="C747" s="60"/>
      <c r="D747" s="60"/>
      <c r="E747" s="60"/>
      <c r="F747" s="60"/>
      <c r="G747" s="61"/>
      <c r="H747" s="60"/>
      <c r="I747" s="61"/>
      <c r="J747" s="60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6"/>
      <c r="AB747" s="36"/>
      <c r="AC747" s="36"/>
      <c r="AD747" s="36"/>
      <c r="AE747" s="36"/>
      <c r="AF747" s="36"/>
      <c r="AG747" s="36"/>
      <c r="AH747" s="36"/>
      <c r="AI747" s="36"/>
    </row>
    <row r="748" spans="1:35" s="62" customFormat="1" ht="13.5" customHeight="1" x14ac:dyDescent="0.25">
      <c r="A748" s="60"/>
      <c r="B748" s="60"/>
      <c r="C748" s="60"/>
      <c r="D748" s="60"/>
      <c r="E748" s="60"/>
      <c r="F748" s="60"/>
      <c r="G748" s="61"/>
      <c r="H748" s="60"/>
      <c r="I748" s="61"/>
      <c r="J748" s="60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6"/>
      <c r="AB748" s="36"/>
      <c r="AC748" s="36"/>
      <c r="AD748" s="36"/>
      <c r="AE748" s="36"/>
      <c r="AF748" s="36"/>
      <c r="AG748" s="36"/>
      <c r="AH748" s="36"/>
      <c r="AI748" s="36"/>
    </row>
    <row r="749" spans="1:35" s="62" customFormat="1" ht="13.5" customHeight="1" x14ac:dyDescent="0.25">
      <c r="A749" s="60"/>
      <c r="B749" s="60"/>
      <c r="C749" s="60"/>
      <c r="D749" s="60"/>
      <c r="E749" s="60"/>
      <c r="F749" s="60"/>
      <c r="G749" s="61"/>
      <c r="H749" s="60"/>
      <c r="I749" s="61"/>
      <c r="J749" s="60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6"/>
      <c r="AB749" s="36"/>
      <c r="AC749" s="36"/>
      <c r="AD749" s="36"/>
      <c r="AE749" s="36"/>
      <c r="AF749" s="36"/>
      <c r="AG749" s="36"/>
      <c r="AH749" s="36"/>
      <c r="AI749" s="36"/>
    </row>
    <row r="750" spans="1:35" s="62" customFormat="1" ht="13.5" customHeight="1" x14ac:dyDescent="0.25">
      <c r="A750" s="60"/>
      <c r="B750" s="60"/>
      <c r="C750" s="60"/>
      <c r="D750" s="60"/>
      <c r="E750" s="60"/>
      <c r="F750" s="60"/>
      <c r="G750" s="61"/>
      <c r="H750" s="60"/>
      <c r="I750" s="61"/>
      <c r="J750" s="60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6"/>
      <c r="AB750" s="36"/>
      <c r="AC750" s="36"/>
      <c r="AD750" s="36"/>
      <c r="AE750" s="36"/>
      <c r="AF750" s="36"/>
      <c r="AG750" s="36"/>
      <c r="AH750" s="36"/>
      <c r="AI750" s="36"/>
    </row>
    <row r="751" spans="1:35" s="62" customFormat="1" ht="13.5" customHeight="1" x14ac:dyDescent="0.25">
      <c r="A751" s="60"/>
      <c r="B751" s="60"/>
      <c r="C751" s="60"/>
      <c r="D751" s="60"/>
      <c r="E751" s="60"/>
      <c r="F751" s="60"/>
      <c r="G751" s="61"/>
      <c r="H751" s="60"/>
      <c r="I751" s="61"/>
      <c r="J751" s="60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6"/>
      <c r="AB751" s="36"/>
      <c r="AC751" s="36"/>
      <c r="AD751" s="36"/>
      <c r="AE751" s="36"/>
      <c r="AF751" s="36"/>
      <c r="AG751" s="36"/>
      <c r="AH751" s="36"/>
      <c r="AI751" s="36"/>
    </row>
    <row r="752" spans="1:35" s="62" customFormat="1" ht="13.5" customHeight="1" x14ac:dyDescent="0.25">
      <c r="A752" s="60"/>
      <c r="B752" s="60"/>
      <c r="C752" s="60"/>
      <c r="D752" s="60"/>
      <c r="E752" s="60"/>
      <c r="F752" s="60"/>
      <c r="G752" s="61"/>
      <c r="H752" s="60"/>
      <c r="I752" s="61"/>
      <c r="J752" s="60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6"/>
      <c r="AB752" s="36"/>
      <c r="AC752" s="36"/>
      <c r="AD752" s="36"/>
      <c r="AE752" s="36"/>
      <c r="AF752" s="36"/>
      <c r="AG752" s="36"/>
      <c r="AH752" s="36"/>
      <c r="AI752" s="36"/>
    </row>
    <row r="753" spans="1:35" s="62" customFormat="1" ht="13.5" customHeight="1" x14ac:dyDescent="0.25">
      <c r="A753" s="60"/>
      <c r="B753" s="60"/>
      <c r="C753" s="60"/>
      <c r="D753" s="60"/>
      <c r="E753" s="60"/>
      <c r="F753" s="60"/>
      <c r="G753" s="61"/>
      <c r="H753" s="60"/>
      <c r="I753" s="61"/>
      <c r="J753" s="60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6"/>
      <c r="AB753" s="36"/>
      <c r="AC753" s="36"/>
      <c r="AD753" s="36"/>
      <c r="AE753" s="36"/>
      <c r="AF753" s="36"/>
      <c r="AG753" s="36"/>
      <c r="AH753" s="36"/>
      <c r="AI753" s="36"/>
    </row>
    <row r="754" spans="1:35" s="62" customFormat="1" ht="13.5" customHeight="1" x14ac:dyDescent="0.25">
      <c r="A754" s="60"/>
      <c r="B754" s="60"/>
      <c r="C754" s="60"/>
      <c r="D754" s="60"/>
      <c r="E754" s="60"/>
      <c r="F754" s="60"/>
      <c r="G754" s="61"/>
      <c r="H754" s="60"/>
      <c r="I754" s="61"/>
      <c r="J754" s="60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6"/>
      <c r="AB754" s="36"/>
      <c r="AC754" s="36"/>
      <c r="AD754" s="36"/>
      <c r="AE754" s="36"/>
      <c r="AF754" s="36"/>
      <c r="AG754" s="36"/>
      <c r="AH754" s="36"/>
      <c r="AI754" s="36"/>
    </row>
    <row r="755" spans="1:35" s="62" customFormat="1" ht="13.5" customHeight="1" x14ac:dyDescent="0.25">
      <c r="A755" s="60"/>
      <c r="B755" s="60"/>
      <c r="C755" s="60"/>
      <c r="D755" s="60"/>
      <c r="E755" s="60"/>
      <c r="F755" s="60"/>
      <c r="G755" s="61"/>
      <c r="H755" s="60"/>
      <c r="I755" s="61"/>
      <c r="J755" s="60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6"/>
      <c r="AB755" s="36"/>
      <c r="AC755" s="36"/>
      <c r="AD755" s="36"/>
      <c r="AE755" s="36"/>
      <c r="AF755" s="36"/>
      <c r="AG755" s="36"/>
      <c r="AH755" s="36"/>
      <c r="AI755" s="36"/>
    </row>
    <row r="756" spans="1:35" s="62" customFormat="1" ht="13.5" customHeight="1" x14ac:dyDescent="0.25">
      <c r="A756" s="60"/>
      <c r="B756" s="60"/>
      <c r="C756" s="60"/>
      <c r="D756" s="60"/>
      <c r="E756" s="60"/>
      <c r="F756" s="60"/>
      <c r="G756" s="61"/>
      <c r="H756" s="60"/>
      <c r="I756" s="61"/>
      <c r="J756" s="60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6"/>
      <c r="AB756" s="36"/>
      <c r="AC756" s="36"/>
      <c r="AD756" s="36"/>
      <c r="AE756" s="36"/>
      <c r="AF756" s="36"/>
      <c r="AG756" s="36"/>
      <c r="AH756" s="36"/>
      <c r="AI756" s="36"/>
    </row>
    <row r="757" spans="1:35" s="62" customFormat="1" ht="13.5" customHeight="1" x14ac:dyDescent="0.25">
      <c r="A757" s="60"/>
      <c r="B757" s="60"/>
      <c r="C757" s="60"/>
      <c r="D757" s="60"/>
      <c r="E757" s="60"/>
      <c r="F757" s="60"/>
      <c r="G757" s="61"/>
      <c r="H757" s="60"/>
      <c r="I757" s="61"/>
      <c r="J757" s="60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6"/>
      <c r="AB757" s="36"/>
      <c r="AC757" s="36"/>
      <c r="AD757" s="36"/>
      <c r="AE757" s="36"/>
      <c r="AF757" s="36"/>
      <c r="AG757" s="36"/>
      <c r="AH757" s="36"/>
      <c r="AI757" s="36"/>
    </row>
    <row r="758" spans="1:35" s="62" customFormat="1" ht="13.5" customHeight="1" x14ac:dyDescent="0.25">
      <c r="A758" s="60"/>
      <c r="B758" s="60"/>
      <c r="C758" s="60"/>
      <c r="D758" s="60"/>
      <c r="E758" s="60"/>
      <c r="F758" s="60"/>
      <c r="G758" s="61"/>
      <c r="H758" s="60"/>
      <c r="I758" s="61"/>
      <c r="J758" s="60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6"/>
      <c r="AB758" s="36"/>
      <c r="AC758" s="36"/>
      <c r="AD758" s="36"/>
      <c r="AE758" s="36"/>
      <c r="AF758" s="36"/>
      <c r="AG758" s="36"/>
      <c r="AH758" s="36"/>
      <c r="AI758" s="36"/>
    </row>
    <row r="759" spans="1:35" s="62" customFormat="1" ht="13.5" customHeight="1" x14ac:dyDescent="0.25">
      <c r="A759" s="60"/>
      <c r="B759" s="60"/>
      <c r="C759" s="60"/>
      <c r="D759" s="60"/>
      <c r="E759" s="60"/>
      <c r="F759" s="60"/>
      <c r="G759" s="61"/>
      <c r="H759" s="60"/>
      <c r="I759" s="61"/>
      <c r="J759" s="60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6"/>
      <c r="AB759" s="36"/>
      <c r="AC759" s="36"/>
      <c r="AD759" s="36"/>
      <c r="AE759" s="36"/>
      <c r="AF759" s="36"/>
      <c r="AG759" s="36"/>
      <c r="AH759" s="36"/>
      <c r="AI759" s="36"/>
    </row>
    <row r="760" spans="1:35" s="62" customFormat="1" ht="13.5" customHeight="1" x14ac:dyDescent="0.25">
      <c r="A760" s="60"/>
      <c r="B760" s="60"/>
      <c r="C760" s="60"/>
      <c r="D760" s="60"/>
      <c r="E760" s="60"/>
      <c r="F760" s="60"/>
      <c r="G760" s="61"/>
      <c r="H760" s="60"/>
      <c r="I760" s="61"/>
      <c r="J760" s="60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6"/>
      <c r="AB760" s="36"/>
      <c r="AC760" s="36"/>
      <c r="AD760" s="36"/>
      <c r="AE760" s="36"/>
      <c r="AF760" s="36"/>
      <c r="AG760" s="36"/>
      <c r="AH760" s="36"/>
      <c r="AI760" s="36"/>
    </row>
    <row r="761" spans="1:35" s="62" customFormat="1" ht="13.5" customHeight="1" x14ac:dyDescent="0.25">
      <c r="A761" s="60"/>
      <c r="B761" s="60"/>
      <c r="C761" s="60"/>
      <c r="D761" s="60"/>
      <c r="E761" s="60"/>
      <c r="F761" s="60"/>
      <c r="G761" s="61"/>
      <c r="H761" s="60"/>
      <c r="I761" s="61"/>
      <c r="J761" s="60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6"/>
      <c r="AB761" s="36"/>
      <c r="AC761" s="36"/>
      <c r="AD761" s="36"/>
      <c r="AE761" s="36"/>
      <c r="AF761" s="36"/>
      <c r="AG761" s="36"/>
      <c r="AH761" s="36"/>
      <c r="AI761" s="36"/>
    </row>
    <row r="762" spans="1:35" s="62" customFormat="1" ht="13.5" customHeight="1" x14ac:dyDescent="0.25">
      <c r="A762" s="60"/>
      <c r="B762" s="60"/>
      <c r="C762" s="60"/>
      <c r="D762" s="60"/>
      <c r="E762" s="60"/>
      <c r="F762" s="60"/>
      <c r="G762" s="61"/>
      <c r="H762" s="60"/>
      <c r="I762" s="61"/>
      <c r="J762" s="60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6"/>
      <c r="AB762" s="36"/>
      <c r="AC762" s="36"/>
      <c r="AD762" s="36"/>
      <c r="AE762" s="36"/>
      <c r="AF762" s="36"/>
      <c r="AG762" s="36"/>
      <c r="AH762" s="36"/>
      <c r="AI762" s="36"/>
    </row>
    <row r="763" spans="1:35" s="62" customFormat="1" ht="13.5" customHeight="1" x14ac:dyDescent="0.25">
      <c r="A763" s="60"/>
      <c r="B763" s="60"/>
      <c r="C763" s="60"/>
      <c r="D763" s="60"/>
      <c r="E763" s="60"/>
      <c r="F763" s="60"/>
      <c r="G763" s="61"/>
      <c r="H763" s="60"/>
      <c r="I763" s="61"/>
      <c r="J763" s="60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6"/>
      <c r="AB763" s="36"/>
      <c r="AC763" s="36"/>
      <c r="AD763" s="36"/>
      <c r="AE763" s="36"/>
      <c r="AF763" s="36"/>
      <c r="AG763" s="36"/>
      <c r="AH763" s="36"/>
      <c r="AI763" s="36"/>
    </row>
    <row r="764" spans="1:35" s="62" customFormat="1" ht="13.5" customHeight="1" x14ac:dyDescent="0.25">
      <c r="A764" s="60"/>
      <c r="B764" s="60"/>
      <c r="C764" s="60"/>
      <c r="D764" s="60"/>
      <c r="E764" s="60"/>
      <c r="F764" s="60"/>
      <c r="G764" s="61"/>
      <c r="H764" s="60"/>
      <c r="I764" s="61"/>
      <c r="J764" s="60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6"/>
      <c r="AB764" s="36"/>
      <c r="AC764" s="36"/>
      <c r="AD764" s="36"/>
      <c r="AE764" s="36"/>
      <c r="AF764" s="36"/>
      <c r="AG764" s="36"/>
      <c r="AH764" s="36"/>
      <c r="AI764" s="36"/>
    </row>
    <row r="765" spans="1:35" s="62" customFormat="1" ht="13.5" customHeight="1" x14ac:dyDescent="0.25">
      <c r="A765" s="60"/>
      <c r="B765" s="60"/>
      <c r="C765" s="60"/>
      <c r="D765" s="60"/>
      <c r="E765" s="60"/>
      <c r="F765" s="60"/>
      <c r="G765" s="61"/>
      <c r="H765" s="60"/>
      <c r="I765" s="61"/>
      <c r="J765" s="60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6"/>
      <c r="AB765" s="36"/>
      <c r="AC765" s="36"/>
      <c r="AD765" s="36"/>
      <c r="AE765" s="36"/>
      <c r="AF765" s="36"/>
      <c r="AG765" s="36"/>
      <c r="AH765" s="36"/>
      <c r="AI765" s="36"/>
    </row>
    <row r="766" spans="1:35" s="62" customFormat="1" ht="13.5" customHeight="1" x14ac:dyDescent="0.25">
      <c r="A766" s="60"/>
      <c r="B766" s="60"/>
      <c r="C766" s="60"/>
      <c r="D766" s="60"/>
      <c r="E766" s="60"/>
      <c r="F766" s="60"/>
      <c r="G766" s="61"/>
      <c r="H766" s="60"/>
      <c r="I766" s="61"/>
      <c r="J766" s="60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6"/>
      <c r="AB766" s="36"/>
      <c r="AC766" s="36"/>
      <c r="AD766" s="36"/>
      <c r="AE766" s="36"/>
      <c r="AF766" s="36"/>
      <c r="AG766" s="36"/>
      <c r="AH766" s="36"/>
      <c r="AI766" s="36"/>
    </row>
    <row r="767" spans="1:35" s="62" customFormat="1" ht="13.5" customHeight="1" x14ac:dyDescent="0.25">
      <c r="A767" s="60"/>
      <c r="B767" s="60"/>
      <c r="C767" s="60"/>
      <c r="D767" s="60"/>
      <c r="E767" s="60"/>
      <c r="F767" s="60"/>
      <c r="G767" s="61"/>
      <c r="H767" s="60"/>
      <c r="I767" s="61"/>
      <c r="J767" s="60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6"/>
      <c r="AB767" s="36"/>
      <c r="AC767" s="36"/>
      <c r="AD767" s="36"/>
      <c r="AE767" s="36"/>
      <c r="AF767" s="36"/>
      <c r="AG767" s="36"/>
      <c r="AH767" s="36"/>
      <c r="AI767" s="36"/>
    </row>
    <row r="768" spans="1:35" s="62" customFormat="1" ht="13.5" customHeight="1" x14ac:dyDescent="0.25">
      <c r="A768" s="60"/>
      <c r="B768" s="60"/>
      <c r="C768" s="60"/>
      <c r="D768" s="60"/>
      <c r="E768" s="60"/>
      <c r="F768" s="60"/>
      <c r="G768" s="61"/>
      <c r="H768" s="60"/>
      <c r="I768" s="61"/>
      <c r="J768" s="60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6"/>
      <c r="AB768" s="36"/>
      <c r="AC768" s="36"/>
      <c r="AD768" s="36"/>
      <c r="AE768" s="36"/>
      <c r="AF768" s="36"/>
      <c r="AG768" s="36"/>
      <c r="AH768" s="36"/>
      <c r="AI768" s="36"/>
    </row>
    <row r="769" spans="1:35" s="62" customFormat="1" ht="13.5" customHeight="1" x14ac:dyDescent="0.25">
      <c r="A769" s="60"/>
      <c r="B769" s="60"/>
      <c r="C769" s="60"/>
      <c r="D769" s="60"/>
      <c r="E769" s="60"/>
      <c r="F769" s="60"/>
      <c r="G769" s="61"/>
      <c r="H769" s="60"/>
      <c r="I769" s="61"/>
      <c r="J769" s="60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6"/>
      <c r="AB769" s="36"/>
      <c r="AC769" s="36"/>
      <c r="AD769" s="36"/>
      <c r="AE769" s="36"/>
      <c r="AF769" s="36"/>
      <c r="AG769" s="36"/>
      <c r="AH769" s="36"/>
      <c r="AI769" s="36"/>
    </row>
    <row r="770" spans="1:35" s="62" customFormat="1" ht="13.5" customHeight="1" x14ac:dyDescent="0.25">
      <c r="A770" s="60"/>
      <c r="B770" s="60"/>
      <c r="C770" s="60"/>
      <c r="D770" s="60"/>
      <c r="E770" s="60"/>
      <c r="F770" s="60"/>
      <c r="G770" s="61"/>
      <c r="H770" s="60"/>
      <c r="I770" s="61"/>
      <c r="J770" s="60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6"/>
      <c r="AB770" s="36"/>
      <c r="AC770" s="36"/>
      <c r="AD770" s="36"/>
      <c r="AE770" s="36"/>
      <c r="AF770" s="36"/>
      <c r="AG770" s="36"/>
      <c r="AH770" s="36"/>
      <c r="AI770" s="36"/>
    </row>
    <row r="771" spans="1:35" s="62" customFormat="1" ht="13.5" customHeight="1" x14ac:dyDescent="0.25">
      <c r="A771" s="60"/>
      <c r="B771" s="60"/>
      <c r="C771" s="60"/>
      <c r="D771" s="60"/>
      <c r="E771" s="60"/>
      <c r="F771" s="60"/>
      <c r="G771" s="61"/>
      <c r="H771" s="60"/>
      <c r="I771" s="61"/>
      <c r="J771" s="60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6"/>
      <c r="AB771" s="36"/>
      <c r="AC771" s="36"/>
      <c r="AD771" s="36"/>
      <c r="AE771" s="36"/>
      <c r="AF771" s="36"/>
      <c r="AG771" s="36"/>
      <c r="AH771" s="36"/>
      <c r="AI771" s="36"/>
    </row>
    <row r="772" spans="1:35" s="62" customFormat="1" ht="13.5" customHeight="1" x14ac:dyDescent="0.25">
      <c r="A772" s="60"/>
      <c r="B772" s="60"/>
      <c r="C772" s="60"/>
      <c r="D772" s="60"/>
      <c r="E772" s="60"/>
      <c r="F772" s="60"/>
      <c r="G772" s="61"/>
      <c r="H772" s="60"/>
      <c r="I772" s="61"/>
      <c r="J772" s="60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6"/>
      <c r="AB772" s="36"/>
      <c r="AC772" s="36"/>
      <c r="AD772" s="36"/>
      <c r="AE772" s="36"/>
      <c r="AF772" s="36"/>
      <c r="AG772" s="36"/>
      <c r="AH772" s="36"/>
      <c r="AI772" s="36"/>
    </row>
    <row r="773" spans="1:35" s="62" customFormat="1" ht="13.5" customHeight="1" x14ac:dyDescent="0.25">
      <c r="A773" s="60"/>
      <c r="B773" s="60"/>
      <c r="C773" s="60"/>
      <c r="D773" s="60"/>
      <c r="E773" s="60"/>
      <c r="F773" s="60"/>
      <c r="G773" s="61"/>
      <c r="H773" s="60"/>
      <c r="I773" s="61"/>
      <c r="J773" s="60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6"/>
      <c r="AB773" s="36"/>
      <c r="AC773" s="36"/>
      <c r="AD773" s="36"/>
      <c r="AE773" s="36"/>
      <c r="AF773" s="36"/>
      <c r="AG773" s="36"/>
      <c r="AH773" s="36"/>
      <c r="AI773" s="36"/>
    </row>
    <row r="774" spans="1:35" s="62" customFormat="1" ht="13.5" customHeight="1" x14ac:dyDescent="0.25">
      <c r="A774" s="60"/>
      <c r="B774" s="60"/>
      <c r="C774" s="60"/>
      <c r="D774" s="60"/>
      <c r="E774" s="60"/>
      <c r="F774" s="60"/>
      <c r="G774" s="61"/>
      <c r="H774" s="60"/>
      <c r="I774" s="61"/>
      <c r="J774" s="60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6"/>
      <c r="AB774" s="36"/>
      <c r="AC774" s="36"/>
      <c r="AD774" s="36"/>
      <c r="AE774" s="36"/>
      <c r="AF774" s="36"/>
      <c r="AG774" s="36"/>
      <c r="AH774" s="36"/>
      <c r="AI774" s="36"/>
    </row>
    <row r="775" spans="1:35" s="62" customFormat="1" ht="13.5" customHeight="1" x14ac:dyDescent="0.25">
      <c r="A775" s="60"/>
      <c r="B775" s="60"/>
      <c r="C775" s="60"/>
      <c r="D775" s="60"/>
      <c r="E775" s="60"/>
      <c r="F775" s="60"/>
      <c r="G775" s="61"/>
      <c r="H775" s="60"/>
      <c r="I775" s="61"/>
      <c r="J775" s="60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6"/>
      <c r="AB775" s="36"/>
      <c r="AC775" s="36"/>
      <c r="AD775" s="36"/>
      <c r="AE775" s="36"/>
      <c r="AF775" s="36"/>
      <c r="AG775" s="36"/>
      <c r="AH775" s="36"/>
      <c r="AI775" s="36"/>
    </row>
    <row r="776" spans="1:35" s="62" customFormat="1" ht="13.5" customHeight="1" x14ac:dyDescent="0.25">
      <c r="A776" s="60"/>
      <c r="B776" s="60"/>
      <c r="C776" s="60"/>
      <c r="D776" s="60"/>
      <c r="E776" s="60"/>
      <c r="F776" s="60"/>
      <c r="G776" s="61"/>
      <c r="H776" s="60"/>
      <c r="I776" s="61"/>
      <c r="J776" s="60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6"/>
      <c r="AB776" s="36"/>
      <c r="AC776" s="36"/>
      <c r="AD776" s="36"/>
      <c r="AE776" s="36"/>
      <c r="AF776" s="36"/>
      <c r="AG776" s="36"/>
      <c r="AH776" s="36"/>
      <c r="AI776" s="36"/>
    </row>
    <row r="777" spans="1:35" s="62" customFormat="1" ht="13.5" customHeight="1" x14ac:dyDescent="0.25">
      <c r="A777" s="60"/>
      <c r="B777" s="60"/>
      <c r="C777" s="60"/>
      <c r="D777" s="60"/>
      <c r="E777" s="60"/>
      <c r="F777" s="60"/>
      <c r="G777" s="61"/>
      <c r="H777" s="60"/>
      <c r="I777" s="61"/>
      <c r="J777" s="60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6"/>
      <c r="AB777" s="36"/>
      <c r="AC777" s="36"/>
      <c r="AD777" s="36"/>
      <c r="AE777" s="36"/>
      <c r="AF777" s="36"/>
      <c r="AG777" s="36"/>
      <c r="AH777" s="36"/>
      <c r="AI777" s="36"/>
    </row>
    <row r="778" spans="1:35" s="62" customFormat="1" ht="13.5" customHeight="1" x14ac:dyDescent="0.25">
      <c r="A778" s="60"/>
      <c r="B778" s="60"/>
      <c r="C778" s="60"/>
      <c r="D778" s="60"/>
      <c r="E778" s="60"/>
      <c r="F778" s="60"/>
      <c r="G778" s="61"/>
      <c r="H778" s="60"/>
      <c r="I778" s="61"/>
      <c r="J778" s="60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6"/>
      <c r="AB778" s="36"/>
      <c r="AC778" s="36"/>
      <c r="AD778" s="36"/>
      <c r="AE778" s="36"/>
      <c r="AF778" s="36"/>
      <c r="AG778" s="36"/>
      <c r="AH778" s="36"/>
      <c r="AI778" s="36"/>
    </row>
    <row r="779" spans="1:35" s="62" customFormat="1" ht="13.5" customHeight="1" x14ac:dyDescent="0.25">
      <c r="A779" s="60"/>
      <c r="B779" s="60"/>
      <c r="C779" s="60"/>
      <c r="D779" s="60"/>
      <c r="E779" s="60"/>
      <c r="F779" s="60"/>
      <c r="G779" s="61"/>
      <c r="H779" s="60"/>
      <c r="I779" s="61"/>
      <c r="J779" s="60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6"/>
      <c r="AB779" s="36"/>
      <c r="AC779" s="36"/>
      <c r="AD779" s="36"/>
      <c r="AE779" s="36"/>
      <c r="AF779" s="36"/>
      <c r="AG779" s="36"/>
      <c r="AH779" s="36"/>
      <c r="AI779" s="36"/>
    </row>
    <row r="780" spans="1:35" s="62" customFormat="1" ht="13.5" customHeight="1" x14ac:dyDescent="0.25">
      <c r="A780" s="60"/>
      <c r="B780" s="60"/>
      <c r="C780" s="60"/>
      <c r="D780" s="60"/>
      <c r="E780" s="60"/>
      <c r="F780" s="60"/>
      <c r="G780" s="61"/>
      <c r="H780" s="60"/>
      <c r="I780" s="61"/>
      <c r="J780" s="60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6"/>
      <c r="AB780" s="36"/>
      <c r="AC780" s="36"/>
      <c r="AD780" s="36"/>
      <c r="AE780" s="36"/>
      <c r="AF780" s="36"/>
      <c r="AG780" s="36"/>
      <c r="AH780" s="36"/>
      <c r="AI780" s="36"/>
    </row>
    <row r="781" spans="1:35" s="62" customFormat="1" ht="13.5" customHeight="1" x14ac:dyDescent="0.25">
      <c r="A781" s="60"/>
      <c r="B781" s="60"/>
      <c r="C781" s="60"/>
      <c r="D781" s="60"/>
      <c r="E781" s="60"/>
      <c r="F781" s="60"/>
      <c r="G781" s="61"/>
      <c r="H781" s="60"/>
      <c r="I781" s="61"/>
      <c r="J781" s="60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6"/>
      <c r="AB781" s="36"/>
      <c r="AC781" s="36"/>
      <c r="AD781" s="36"/>
      <c r="AE781" s="36"/>
      <c r="AF781" s="36"/>
      <c r="AG781" s="36"/>
      <c r="AH781" s="36"/>
      <c r="AI781" s="36"/>
    </row>
    <row r="782" spans="1:35" s="62" customFormat="1" ht="13.5" customHeight="1" x14ac:dyDescent="0.25">
      <c r="A782" s="60"/>
      <c r="B782" s="60"/>
      <c r="C782" s="60"/>
      <c r="D782" s="60"/>
      <c r="E782" s="60"/>
      <c r="F782" s="60"/>
      <c r="G782" s="61"/>
      <c r="H782" s="60"/>
      <c r="I782" s="61"/>
      <c r="J782" s="60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6"/>
      <c r="AB782" s="36"/>
      <c r="AC782" s="36"/>
      <c r="AD782" s="36"/>
      <c r="AE782" s="36"/>
      <c r="AF782" s="36"/>
      <c r="AG782" s="36"/>
      <c r="AH782" s="36"/>
      <c r="AI782" s="36"/>
    </row>
    <row r="783" spans="1:35" s="62" customFormat="1" ht="13.5" customHeight="1" x14ac:dyDescent="0.25">
      <c r="A783" s="60"/>
      <c r="B783" s="60"/>
      <c r="C783" s="60"/>
      <c r="D783" s="60"/>
      <c r="E783" s="60"/>
      <c r="F783" s="60"/>
      <c r="G783" s="61"/>
      <c r="H783" s="60"/>
      <c r="I783" s="61"/>
      <c r="J783" s="60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6"/>
      <c r="AB783" s="36"/>
      <c r="AC783" s="36"/>
      <c r="AD783" s="36"/>
      <c r="AE783" s="36"/>
      <c r="AF783" s="36"/>
      <c r="AG783" s="36"/>
      <c r="AH783" s="36"/>
      <c r="AI783" s="36"/>
    </row>
    <row r="784" spans="1:35" s="62" customFormat="1" ht="13.5" customHeight="1" x14ac:dyDescent="0.25">
      <c r="A784" s="60"/>
      <c r="B784" s="60"/>
      <c r="C784" s="60"/>
      <c r="D784" s="60"/>
      <c r="E784" s="60"/>
      <c r="F784" s="60"/>
      <c r="G784" s="61"/>
      <c r="H784" s="60"/>
      <c r="I784" s="61"/>
      <c r="J784" s="60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6"/>
      <c r="AB784" s="36"/>
      <c r="AC784" s="36"/>
      <c r="AD784" s="36"/>
      <c r="AE784" s="36"/>
      <c r="AF784" s="36"/>
      <c r="AG784" s="36"/>
      <c r="AH784" s="36"/>
      <c r="AI784" s="36"/>
    </row>
    <row r="785" spans="1:35" s="62" customFormat="1" ht="13.5" customHeight="1" x14ac:dyDescent="0.25">
      <c r="A785" s="60"/>
      <c r="B785" s="60"/>
      <c r="C785" s="60"/>
      <c r="D785" s="60"/>
      <c r="E785" s="60"/>
      <c r="F785" s="60"/>
      <c r="G785" s="61"/>
      <c r="H785" s="60"/>
      <c r="I785" s="61"/>
      <c r="J785" s="60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6"/>
      <c r="AB785" s="36"/>
      <c r="AC785" s="36"/>
      <c r="AD785" s="36"/>
      <c r="AE785" s="36"/>
      <c r="AF785" s="36"/>
      <c r="AG785" s="36"/>
      <c r="AH785" s="36"/>
      <c r="AI785" s="36"/>
    </row>
    <row r="786" spans="1:35" s="62" customFormat="1" ht="13.5" customHeight="1" x14ac:dyDescent="0.25">
      <c r="A786" s="60"/>
      <c r="B786" s="60"/>
      <c r="C786" s="60"/>
      <c r="D786" s="60"/>
      <c r="E786" s="60"/>
      <c r="F786" s="60"/>
      <c r="G786" s="61"/>
      <c r="H786" s="60"/>
      <c r="I786" s="61"/>
      <c r="J786" s="60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6"/>
      <c r="AB786" s="36"/>
      <c r="AC786" s="36"/>
      <c r="AD786" s="36"/>
      <c r="AE786" s="36"/>
      <c r="AF786" s="36"/>
      <c r="AG786" s="36"/>
      <c r="AH786" s="36"/>
      <c r="AI786" s="36"/>
    </row>
    <row r="787" spans="1:35" s="62" customFormat="1" ht="13.5" customHeight="1" x14ac:dyDescent="0.25">
      <c r="A787" s="60"/>
      <c r="B787" s="60"/>
      <c r="C787" s="60"/>
      <c r="D787" s="60"/>
      <c r="E787" s="60"/>
      <c r="F787" s="60"/>
      <c r="G787" s="61"/>
      <c r="H787" s="60"/>
      <c r="I787" s="61"/>
      <c r="J787" s="60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6"/>
      <c r="AB787" s="36"/>
      <c r="AC787" s="36"/>
      <c r="AD787" s="36"/>
      <c r="AE787" s="36"/>
      <c r="AF787" s="36"/>
      <c r="AG787" s="36"/>
      <c r="AH787" s="36"/>
      <c r="AI787" s="36"/>
    </row>
    <row r="788" spans="1:35" s="62" customFormat="1" ht="13.5" customHeight="1" x14ac:dyDescent="0.25">
      <c r="A788" s="60"/>
      <c r="B788" s="60"/>
      <c r="C788" s="60"/>
      <c r="D788" s="60"/>
      <c r="E788" s="60"/>
      <c r="F788" s="60"/>
      <c r="G788" s="61"/>
      <c r="H788" s="60"/>
      <c r="I788" s="61"/>
      <c r="J788" s="60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6"/>
      <c r="AB788" s="36"/>
      <c r="AC788" s="36"/>
      <c r="AD788" s="36"/>
      <c r="AE788" s="36"/>
      <c r="AF788" s="36"/>
      <c r="AG788" s="36"/>
      <c r="AH788" s="36"/>
      <c r="AI788" s="36"/>
    </row>
    <row r="789" spans="1:35" s="62" customFormat="1" ht="13.5" customHeight="1" x14ac:dyDescent="0.25">
      <c r="A789" s="60"/>
      <c r="B789" s="60"/>
      <c r="C789" s="60"/>
      <c r="D789" s="60"/>
      <c r="E789" s="60"/>
      <c r="F789" s="60"/>
      <c r="G789" s="61"/>
      <c r="H789" s="60"/>
      <c r="I789" s="61"/>
      <c r="J789" s="60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6"/>
      <c r="AB789" s="36"/>
      <c r="AC789" s="36"/>
      <c r="AD789" s="36"/>
      <c r="AE789" s="36"/>
      <c r="AF789" s="36"/>
      <c r="AG789" s="36"/>
      <c r="AH789" s="36"/>
      <c r="AI789" s="36"/>
    </row>
    <row r="790" spans="1:35" s="62" customFormat="1" ht="13.5" customHeight="1" x14ac:dyDescent="0.25">
      <c r="A790" s="60"/>
      <c r="B790" s="60"/>
      <c r="C790" s="60"/>
      <c r="D790" s="60"/>
      <c r="E790" s="60"/>
      <c r="F790" s="60"/>
      <c r="G790" s="61"/>
      <c r="H790" s="60"/>
      <c r="I790" s="61"/>
      <c r="J790" s="60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6"/>
      <c r="AB790" s="36"/>
      <c r="AC790" s="36"/>
      <c r="AD790" s="36"/>
      <c r="AE790" s="36"/>
      <c r="AF790" s="36"/>
      <c r="AG790" s="36"/>
      <c r="AH790" s="36"/>
      <c r="AI790" s="36"/>
    </row>
    <row r="791" spans="1:35" s="62" customFormat="1" ht="13.5" customHeight="1" x14ac:dyDescent="0.25">
      <c r="A791" s="60"/>
      <c r="B791" s="60"/>
      <c r="C791" s="60"/>
      <c r="D791" s="60"/>
      <c r="E791" s="60"/>
      <c r="F791" s="60"/>
      <c r="G791" s="61"/>
      <c r="H791" s="60"/>
      <c r="I791" s="61"/>
      <c r="J791" s="60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6"/>
      <c r="AB791" s="36"/>
      <c r="AC791" s="36"/>
      <c r="AD791" s="36"/>
      <c r="AE791" s="36"/>
      <c r="AF791" s="36"/>
      <c r="AG791" s="36"/>
      <c r="AH791" s="36"/>
      <c r="AI791" s="36"/>
    </row>
    <row r="792" spans="1:35" s="62" customFormat="1" ht="13.5" customHeight="1" x14ac:dyDescent="0.25">
      <c r="A792" s="60"/>
      <c r="B792" s="60"/>
      <c r="C792" s="60"/>
      <c r="D792" s="60"/>
      <c r="E792" s="60"/>
      <c r="F792" s="60"/>
      <c r="G792" s="61"/>
      <c r="H792" s="60"/>
      <c r="I792" s="61"/>
      <c r="J792" s="60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6"/>
      <c r="AB792" s="36"/>
      <c r="AC792" s="36"/>
      <c r="AD792" s="36"/>
      <c r="AE792" s="36"/>
      <c r="AF792" s="36"/>
      <c r="AG792" s="36"/>
      <c r="AH792" s="36"/>
      <c r="AI792" s="36"/>
    </row>
    <row r="793" spans="1:35" s="62" customFormat="1" ht="13.5" customHeight="1" x14ac:dyDescent="0.25">
      <c r="A793" s="60"/>
      <c r="B793" s="60"/>
      <c r="C793" s="60"/>
      <c r="D793" s="60"/>
      <c r="E793" s="60"/>
      <c r="F793" s="60"/>
      <c r="G793" s="61"/>
      <c r="H793" s="60"/>
      <c r="I793" s="61"/>
      <c r="J793" s="60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6"/>
      <c r="AB793" s="36"/>
      <c r="AC793" s="36"/>
      <c r="AD793" s="36"/>
      <c r="AE793" s="36"/>
      <c r="AF793" s="36"/>
      <c r="AG793" s="36"/>
      <c r="AH793" s="36"/>
      <c r="AI793" s="36"/>
    </row>
    <row r="794" spans="1:35" s="62" customFormat="1" ht="13.5" customHeight="1" x14ac:dyDescent="0.25">
      <c r="A794" s="60"/>
      <c r="B794" s="60"/>
      <c r="C794" s="60"/>
      <c r="D794" s="60"/>
      <c r="E794" s="60"/>
      <c r="F794" s="60"/>
      <c r="G794" s="61"/>
      <c r="H794" s="60"/>
      <c r="I794" s="61"/>
      <c r="J794" s="60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6"/>
      <c r="AB794" s="36"/>
      <c r="AC794" s="36"/>
      <c r="AD794" s="36"/>
      <c r="AE794" s="36"/>
      <c r="AF794" s="36"/>
      <c r="AG794" s="36"/>
      <c r="AH794" s="36"/>
      <c r="AI794" s="36"/>
    </row>
    <row r="795" spans="1:35" s="62" customFormat="1" ht="13.5" customHeight="1" x14ac:dyDescent="0.25">
      <c r="A795" s="60"/>
      <c r="B795" s="60"/>
      <c r="C795" s="60"/>
      <c r="D795" s="60"/>
      <c r="E795" s="60"/>
      <c r="F795" s="60"/>
      <c r="G795" s="61"/>
      <c r="H795" s="60"/>
      <c r="I795" s="61"/>
      <c r="J795" s="60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6"/>
      <c r="AB795" s="36"/>
      <c r="AC795" s="36"/>
      <c r="AD795" s="36"/>
      <c r="AE795" s="36"/>
      <c r="AF795" s="36"/>
      <c r="AG795" s="36"/>
      <c r="AH795" s="36"/>
      <c r="AI795" s="36"/>
    </row>
    <row r="796" spans="1:35" s="62" customFormat="1" ht="13.5" customHeight="1" x14ac:dyDescent="0.25">
      <c r="A796" s="60"/>
      <c r="B796" s="60"/>
      <c r="C796" s="60"/>
      <c r="D796" s="60"/>
      <c r="E796" s="60"/>
      <c r="F796" s="60"/>
      <c r="G796" s="61"/>
      <c r="H796" s="60"/>
      <c r="I796" s="61"/>
      <c r="J796" s="60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6"/>
      <c r="AB796" s="36"/>
      <c r="AC796" s="36"/>
      <c r="AD796" s="36"/>
      <c r="AE796" s="36"/>
      <c r="AF796" s="36"/>
      <c r="AG796" s="36"/>
      <c r="AH796" s="36"/>
      <c r="AI796" s="36"/>
    </row>
    <row r="797" spans="1:35" s="62" customFormat="1" ht="13.5" customHeight="1" x14ac:dyDescent="0.25">
      <c r="A797" s="60"/>
      <c r="B797" s="60"/>
      <c r="C797" s="60"/>
      <c r="D797" s="60"/>
      <c r="E797" s="60"/>
      <c r="F797" s="60"/>
      <c r="G797" s="61"/>
      <c r="H797" s="60"/>
      <c r="I797" s="61"/>
      <c r="J797" s="60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6"/>
      <c r="AB797" s="36"/>
      <c r="AC797" s="36"/>
      <c r="AD797" s="36"/>
      <c r="AE797" s="36"/>
      <c r="AF797" s="36"/>
      <c r="AG797" s="36"/>
      <c r="AH797" s="36"/>
      <c r="AI797" s="36"/>
    </row>
    <row r="798" spans="1:35" s="62" customFormat="1" ht="13.5" customHeight="1" x14ac:dyDescent="0.25">
      <c r="A798" s="60"/>
      <c r="B798" s="60"/>
      <c r="C798" s="60"/>
      <c r="D798" s="60"/>
      <c r="E798" s="60"/>
      <c r="F798" s="60"/>
      <c r="G798" s="61"/>
      <c r="H798" s="60"/>
      <c r="I798" s="61"/>
      <c r="J798" s="60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6"/>
      <c r="AB798" s="36"/>
      <c r="AC798" s="36"/>
      <c r="AD798" s="36"/>
      <c r="AE798" s="36"/>
      <c r="AF798" s="36"/>
      <c r="AG798" s="36"/>
      <c r="AH798" s="36"/>
      <c r="AI798" s="36"/>
    </row>
    <row r="799" spans="1:35" s="62" customFormat="1" ht="13.5" customHeight="1" x14ac:dyDescent="0.25">
      <c r="A799" s="60"/>
      <c r="B799" s="60"/>
      <c r="C799" s="60"/>
      <c r="D799" s="60"/>
      <c r="E799" s="60"/>
      <c r="F799" s="60"/>
      <c r="G799" s="61"/>
      <c r="H799" s="60"/>
      <c r="I799" s="61"/>
      <c r="J799" s="60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6"/>
      <c r="AB799" s="36"/>
      <c r="AC799" s="36"/>
      <c r="AD799" s="36"/>
      <c r="AE799" s="36"/>
      <c r="AF799" s="36"/>
      <c r="AG799" s="36"/>
      <c r="AH799" s="36"/>
      <c r="AI799" s="36"/>
    </row>
    <row r="800" spans="1:35" s="62" customFormat="1" ht="13.5" customHeight="1" x14ac:dyDescent="0.25">
      <c r="A800" s="60"/>
      <c r="B800" s="60"/>
      <c r="C800" s="60"/>
      <c r="D800" s="60"/>
      <c r="E800" s="60"/>
      <c r="F800" s="60"/>
      <c r="G800" s="61"/>
      <c r="H800" s="60"/>
      <c r="I800" s="61"/>
      <c r="J800" s="60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6"/>
      <c r="AB800" s="36"/>
      <c r="AC800" s="36"/>
      <c r="AD800" s="36"/>
      <c r="AE800" s="36"/>
      <c r="AF800" s="36"/>
      <c r="AG800" s="36"/>
      <c r="AH800" s="36"/>
      <c r="AI800" s="36"/>
    </row>
    <row r="801" spans="1:35" s="62" customFormat="1" ht="13.5" customHeight="1" x14ac:dyDescent="0.25">
      <c r="A801" s="60"/>
      <c r="B801" s="60"/>
      <c r="C801" s="60"/>
      <c r="D801" s="60"/>
      <c r="E801" s="60"/>
      <c r="F801" s="60"/>
      <c r="G801" s="61"/>
      <c r="H801" s="60"/>
      <c r="I801" s="61"/>
      <c r="J801" s="60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6"/>
      <c r="AB801" s="36"/>
      <c r="AC801" s="36"/>
      <c r="AD801" s="36"/>
      <c r="AE801" s="36"/>
      <c r="AF801" s="36"/>
      <c r="AG801" s="36"/>
      <c r="AH801" s="36"/>
      <c r="AI801" s="36"/>
    </row>
    <row r="802" spans="1:35" s="62" customFormat="1" ht="13.5" customHeight="1" x14ac:dyDescent="0.25">
      <c r="A802" s="60"/>
      <c r="B802" s="60"/>
      <c r="C802" s="60"/>
      <c r="D802" s="60"/>
      <c r="E802" s="60"/>
      <c r="F802" s="60"/>
      <c r="G802" s="61"/>
      <c r="H802" s="60"/>
      <c r="I802" s="61"/>
      <c r="J802" s="60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6"/>
      <c r="AB802" s="36"/>
      <c r="AC802" s="36"/>
      <c r="AD802" s="36"/>
      <c r="AE802" s="36"/>
      <c r="AF802" s="36"/>
      <c r="AG802" s="36"/>
      <c r="AH802" s="36"/>
      <c r="AI802" s="36"/>
    </row>
    <row r="803" spans="1:35" s="62" customFormat="1" ht="13.5" customHeight="1" x14ac:dyDescent="0.25">
      <c r="A803" s="60"/>
      <c r="B803" s="60"/>
      <c r="C803" s="60"/>
      <c r="D803" s="60"/>
      <c r="E803" s="60"/>
      <c r="F803" s="60"/>
      <c r="G803" s="61"/>
      <c r="H803" s="60"/>
      <c r="I803" s="61"/>
      <c r="J803" s="60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6"/>
      <c r="AB803" s="36"/>
      <c r="AC803" s="36"/>
      <c r="AD803" s="36"/>
      <c r="AE803" s="36"/>
      <c r="AF803" s="36"/>
      <c r="AG803" s="36"/>
      <c r="AH803" s="36"/>
      <c r="AI803" s="36"/>
    </row>
    <row r="804" spans="1:35" s="62" customFormat="1" ht="13.5" customHeight="1" x14ac:dyDescent="0.25">
      <c r="A804" s="60"/>
      <c r="B804" s="60"/>
      <c r="C804" s="60"/>
      <c r="D804" s="60"/>
      <c r="E804" s="60"/>
      <c r="F804" s="60"/>
      <c r="G804" s="61"/>
      <c r="H804" s="60"/>
      <c r="I804" s="61"/>
      <c r="J804" s="60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6"/>
      <c r="AB804" s="36"/>
      <c r="AC804" s="36"/>
      <c r="AD804" s="36"/>
      <c r="AE804" s="36"/>
      <c r="AF804" s="36"/>
      <c r="AG804" s="36"/>
      <c r="AH804" s="36"/>
      <c r="AI804" s="36"/>
    </row>
    <row r="805" spans="1:35" s="62" customFormat="1" ht="13.5" customHeight="1" x14ac:dyDescent="0.25">
      <c r="A805" s="60"/>
      <c r="B805" s="60"/>
      <c r="C805" s="60"/>
      <c r="D805" s="60"/>
      <c r="E805" s="60"/>
      <c r="F805" s="60"/>
      <c r="G805" s="61"/>
      <c r="H805" s="60"/>
      <c r="I805" s="61"/>
      <c r="J805" s="60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6"/>
      <c r="AB805" s="36"/>
      <c r="AC805" s="36"/>
      <c r="AD805" s="36"/>
      <c r="AE805" s="36"/>
      <c r="AF805" s="36"/>
      <c r="AG805" s="36"/>
      <c r="AH805" s="36"/>
      <c r="AI805" s="36"/>
    </row>
    <row r="806" spans="1:35" s="62" customFormat="1" ht="13.5" customHeight="1" x14ac:dyDescent="0.25">
      <c r="A806" s="60"/>
      <c r="B806" s="60"/>
      <c r="C806" s="60"/>
      <c r="D806" s="60"/>
      <c r="E806" s="60"/>
      <c r="F806" s="60"/>
      <c r="G806" s="61"/>
      <c r="H806" s="60"/>
      <c r="I806" s="61"/>
      <c r="J806" s="60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6"/>
      <c r="AB806" s="36"/>
      <c r="AC806" s="36"/>
      <c r="AD806" s="36"/>
      <c r="AE806" s="36"/>
      <c r="AF806" s="36"/>
      <c r="AG806" s="36"/>
      <c r="AH806" s="36"/>
      <c r="AI806" s="36"/>
    </row>
    <row r="807" spans="1:35" s="62" customFormat="1" ht="13.5" customHeight="1" x14ac:dyDescent="0.25">
      <c r="A807" s="60"/>
      <c r="B807" s="60"/>
      <c r="C807" s="60"/>
      <c r="D807" s="60"/>
      <c r="E807" s="60"/>
      <c r="F807" s="60"/>
      <c r="G807" s="61"/>
      <c r="H807" s="60"/>
      <c r="I807" s="61"/>
      <c r="J807" s="60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6"/>
      <c r="AB807" s="36"/>
      <c r="AC807" s="36"/>
      <c r="AD807" s="36"/>
      <c r="AE807" s="36"/>
      <c r="AF807" s="36"/>
      <c r="AG807" s="36"/>
      <c r="AH807" s="36"/>
      <c r="AI807" s="36"/>
    </row>
    <row r="808" spans="1:35" s="62" customFormat="1" ht="13.5" customHeight="1" x14ac:dyDescent="0.25">
      <c r="A808" s="60"/>
      <c r="B808" s="60"/>
      <c r="C808" s="60"/>
      <c r="D808" s="60"/>
      <c r="E808" s="60"/>
      <c r="F808" s="60"/>
      <c r="G808" s="61"/>
      <c r="H808" s="60"/>
      <c r="I808" s="61"/>
      <c r="J808" s="60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6"/>
      <c r="AB808" s="36"/>
      <c r="AC808" s="36"/>
      <c r="AD808" s="36"/>
      <c r="AE808" s="36"/>
      <c r="AF808" s="36"/>
      <c r="AG808" s="36"/>
      <c r="AH808" s="36"/>
      <c r="AI808" s="36"/>
    </row>
    <row r="809" spans="1:35" s="62" customFormat="1" ht="13.5" customHeight="1" x14ac:dyDescent="0.25">
      <c r="A809" s="60"/>
      <c r="B809" s="60"/>
      <c r="C809" s="60"/>
      <c r="D809" s="60"/>
      <c r="E809" s="60"/>
      <c r="F809" s="60"/>
      <c r="G809" s="61"/>
      <c r="H809" s="60"/>
      <c r="I809" s="61"/>
      <c r="J809" s="60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6"/>
      <c r="AB809" s="36"/>
      <c r="AC809" s="36"/>
      <c r="AD809" s="36"/>
      <c r="AE809" s="36"/>
      <c r="AF809" s="36"/>
      <c r="AG809" s="36"/>
      <c r="AH809" s="36"/>
      <c r="AI809" s="36"/>
    </row>
    <row r="810" spans="1:35" s="62" customFormat="1" ht="13.5" customHeight="1" x14ac:dyDescent="0.25">
      <c r="A810" s="60"/>
      <c r="B810" s="60"/>
      <c r="C810" s="60"/>
      <c r="D810" s="60"/>
      <c r="E810" s="60"/>
      <c r="F810" s="60"/>
      <c r="G810" s="61"/>
      <c r="H810" s="60"/>
      <c r="I810" s="61"/>
      <c r="J810" s="60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6"/>
      <c r="AB810" s="36"/>
      <c r="AC810" s="36"/>
      <c r="AD810" s="36"/>
      <c r="AE810" s="36"/>
      <c r="AF810" s="36"/>
      <c r="AG810" s="36"/>
      <c r="AH810" s="36"/>
      <c r="AI810" s="36"/>
    </row>
    <row r="811" spans="1:35" s="62" customFormat="1" ht="13.5" customHeight="1" x14ac:dyDescent="0.25">
      <c r="A811" s="60"/>
      <c r="B811" s="60"/>
      <c r="C811" s="60"/>
      <c r="D811" s="60"/>
      <c r="E811" s="60"/>
      <c r="F811" s="60"/>
      <c r="G811" s="61"/>
      <c r="H811" s="60"/>
      <c r="I811" s="61"/>
      <c r="J811" s="60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6"/>
      <c r="AB811" s="36"/>
      <c r="AC811" s="36"/>
      <c r="AD811" s="36"/>
      <c r="AE811" s="36"/>
      <c r="AF811" s="36"/>
      <c r="AG811" s="36"/>
      <c r="AH811" s="36"/>
      <c r="AI811" s="36"/>
    </row>
    <row r="812" spans="1:35" s="62" customFormat="1" ht="13.5" customHeight="1" x14ac:dyDescent="0.25">
      <c r="A812" s="60"/>
      <c r="B812" s="60"/>
      <c r="C812" s="60"/>
      <c r="D812" s="60"/>
      <c r="E812" s="60"/>
      <c r="F812" s="60"/>
      <c r="G812" s="61"/>
      <c r="H812" s="60"/>
      <c r="I812" s="61"/>
      <c r="J812" s="60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6"/>
      <c r="AB812" s="36"/>
      <c r="AC812" s="36"/>
      <c r="AD812" s="36"/>
      <c r="AE812" s="36"/>
      <c r="AF812" s="36"/>
      <c r="AG812" s="36"/>
      <c r="AH812" s="36"/>
      <c r="AI812" s="36"/>
    </row>
    <row r="813" spans="1:35" s="62" customFormat="1" ht="13.5" customHeight="1" x14ac:dyDescent="0.25">
      <c r="A813" s="60"/>
      <c r="B813" s="60"/>
      <c r="C813" s="60"/>
      <c r="D813" s="60"/>
      <c r="E813" s="60"/>
      <c r="F813" s="60"/>
      <c r="G813" s="61"/>
      <c r="H813" s="60"/>
      <c r="I813" s="61"/>
      <c r="J813" s="60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6"/>
      <c r="AB813" s="36"/>
      <c r="AC813" s="36"/>
      <c r="AD813" s="36"/>
      <c r="AE813" s="36"/>
      <c r="AF813" s="36"/>
      <c r="AG813" s="36"/>
      <c r="AH813" s="36"/>
      <c r="AI813" s="36"/>
    </row>
    <row r="814" spans="1:35" s="62" customFormat="1" ht="13.5" customHeight="1" x14ac:dyDescent="0.25">
      <c r="A814" s="60"/>
      <c r="B814" s="60"/>
      <c r="C814" s="60"/>
      <c r="D814" s="60"/>
      <c r="E814" s="60"/>
      <c r="F814" s="60"/>
      <c r="G814" s="61"/>
      <c r="H814" s="60"/>
      <c r="I814" s="61"/>
      <c r="J814" s="60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6"/>
      <c r="AB814" s="36"/>
      <c r="AC814" s="36"/>
      <c r="AD814" s="36"/>
      <c r="AE814" s="36"/>
      <c r="AF814" s="36"/>
      <c r="AG814" s="36"/>
      <c r="AH814" s="36"/>
      <c r="AI814" s="36"/>
    </row>
    <row r="815" spans="1:35" s="62" customFormat="1" ht="13.5" customHeight="1" x14ac:dyDescent="0.25">
      <c r="A815" s="60"/>
      <c r="B815" s="60"/>
      <c r="C815" s="60"/>
      <c r="D815" s="60"/>
      <c r="E815" s="60"/>
      <c r="F815" s="60"/>
      <c r="G815" s="61"/>
      <c r="H815" s="60"/>
      <c r="I815" s="61"/>
      <c r="J815" s="60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6"/>
      <c r="AB815" s="36"/>
      <c r="AC815" s="36"/>
      <c r="AD815" s="36"/>
      <c r="AE815" s="36"/>
      <c r="AF815" s="36"/>
      <c r="AG815" s="36"/>
      <c r="AH815" s="36"/>
      <c r="AI815" s="36"/>
    </row>
    <row r="816" spans="1:35" s="62" customFormat="1" ht="13.5" customHeight="1" x14ac:dyDescent="0.25">
      <c r="A816" s="60"/>
      <c r="B816" s="60"/>
      <c r="C816" s="60"/>
      <c r="D816" s="60"/>
      <c r="E816" s="60"/>
      <c r="F816" s="60"/>
      <c r="G816" s="61"/>
      <c r="H816" s="60"/>
      <c r="I816" s="61"/>
      <c r="J816" s="60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6"/>
      <c r="AB816" s="36"/>
      <c r="AC816" s="36"/>
      <c r="AD816" s="36"/>
      <c r="AE816" s="36"/>
      <c r="AF816" s="36"/>
      <c r="AG816" s="36"/>
      <c r="AH816" s="36"/>
      <c r="AI816" s="36"/>
    </row>
    <row r="817" spans="1:35" s="62" customFormat="1" ht="13.5" customHeight="1" x14ac:dyDescent="0.25">
      <c r="A817" s="60"/>
      <c r="B817" s="60"/>
      <c r="C817" s="60"/>
      <c r="D817" s="60"/>
      <c r="E817" s="60"/>
      <c r="F817" s="60"/>
      <c r="G817" s="61"/>
      <c r="H817" s="60"/>
      <c r="I817" s="61"/>
      <c r="J817" s="60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6"/>
      <c r="AB817" s="36"/>
      <c r="AC817" s="36"/>
      <c r="AD817" s="36"/>
      <c r="AE817" s="36"/>
      <c r="AF817" s="36"/>
      <c r="AG817" s="36"/>
      <c r="AH817" s="36"/>
      <c r="AI817" s="36"/>
    </row>
    <row r="818" spans="1:35" ht="13.5" customHeight="1" x14ac:dyDescent="0.15">
      <c r="A818" s="2"/>
      <c r="B818" s="2"/>
      <c r="C818" s="2"/>
      <c r="D818" s="2"/>
      <c r="E818" s="2"/>
      <c r="F818" s="2"/>
      <c r="G818" s="5"/>
      <c r="H818" s="2"/>
      <c r="I818" s="5"/>
      <c r="J818" s="2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35" ht="13.5" customHeight="1" x14ac:dyDescent="0.15">
      <c r="A819" s="2"/>
      <c r="B819" s="2"/>
      <c r="C819" s="2"/>
      <c r="D819" s="2"/>
      <c r="E819" s="2"/>
      <c r="F819" s="2"/>
      <c r="G819" s="5"/>
      <c r="H819" s="2"/>
      <c r="I819" s="5"/>
      <c r="J819" s="2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35" ht="13.5" customHeight="1" x14ac:dyDescent="0.15">
      <c r="A820" s="2"/>
      <c r="B820" s="2"/>
      <c r="C820" s="2"/>
      <c r="D820" s="2"/>
      <c r="E820" s="2"/>
      <c r="F820" s="2"/>
      <c r="G820" s="5"/>
      <c r="H820" s="2"/>
      <c r="I820" s="5"/>
      <c r="J820" s="2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35" ht="13.5" customHeight="1" x14ac:dyDescent="0.15">
      <c r="A821" s="2"/>
      <c r="B821" s="2"/>
      <c r="C821" s="2"/>
      <c r="D821" s="2"/>
      <c r="E821" s="2"/>
      <c r="F821" s="2"/>
      <c r="G821" s="5"/>
      <c r="H821" s="2"/>
      <c r="I821" s="5"/>
      <c r="J821" s="2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35" ht="13.5" customHeight="1" x14ac:dyDescent="0.15">
      <c r="A822" s="2"/>
      <c r="B822" s="2"/>
      <c r="C822" s="2"/>
      <c r="D822" s="2"/>
      <c r="E822" s="2"/>
      <c r="F822" s="2"/>
      <c r="G822" s="5"/>
      <c r="H822" s="2"/>
      <c r="I822" s="5"/>
      <c r="J822" s="2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35" ht="13.5" customHeight="1" x14ac:dyDescent="0.15">
      <c r="A823" s="2"/>
      <c r="B823" s="2"/>
      <c r="C823" s="2"/>
      <c r="D823" s="2"/>
      <c r="E823" s="2"/>
      <c r="F823" s="2"/>
      <c r="G823" s="5"/>
      <c r="H823" s="2"/>
      <c r="I823" s="5"/>
      <c r="J823" s="2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35" ht="13.5" customHeight="1" x14ac:dyDescent="0.15">
      <c r="A824" s="2"/>
      <c r="B824" s="2"/>
      <c r="C824" s="2"/>
      <c r="D824" s="2"/>
      <c r="E824" s="2"/>
      <c r="F824" s="2"/>
      <c r="G824" s="5"/>
      <c r="H824" s="2"/>
      <c r="I824" s="5"/>
      <c r="J824" s="2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35" ht="13.5" customHeight="1" x14ac:dyDescent="0.15">
      <c r="A825" s="2"/>
      <c r="B825" s="2"/>
      <c r="C825" s="2"/>
      <c r="D825" s="2"/>
      <c r="E825" s="2"/>
      <c r="F825" s="2"/>
      <c r="G825" s="5"/>
      <c r="H825" s="2"/>
      <c r="I825" s="5"/>
      <c r="J825" s="2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35" ht="13.5" customHeight="1" x14ac:dyDescent="0.15">
      <c r="A826" s="2"/>
      <c r="B826" s="2"/>
      <c r="C826" s="2"/>
      <c r="D826" s="2"/>
      <c r="E826" s="2"/>
      <c r="F826" s="2"/>
      <c r="G826" s="5"/>
      <c r="H826" s="2"/>
      <c r="I826" s="5"/>
      <c r="J826" s="2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35" ht="13.5" customHeight="1" x14ac:dyDescent="0.15">
      <c r="A827" s="2"/>
      <c r="B827" s="2"/>
      <c r="C827" s="2"/>
      <c r="D827" s="2"/>
      <c r="E827" s="2"/>
      <c r="F827" s="2"/>
      <c r="G827" s="5"/>
      <c r="H827" s="2"/>
      <c r="I827" s="5"/>
      <c r="J827" s="2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35" ht="13.5" customHeight="1" x14ac:dyDescent="0.15">
      <c r="A828" s="2"/>
      <c r="B828" s="2"/>
      <c r="C828" s="2"/>
      <c r="D828" s="2"/>
      <c r="E828" s="2"/>
      <c r="F828" s="2"/>
      <c r="G828" s="5"/>
      <c r="H828" s="2"/>
      <c r="I828" s="5"/>
      <c r="J828" s="2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35" ht="13.5" customHeight="1" x14ac:dyDescent="0.15">
      <c r="A829" s="2"/>
      <c r="B829" s="2"/>
      <c r="C829" s="2"/>
      <c r="D829" s="2"/>
      <c r="E829" s="2"/>
      <c r="F829" s="2"/>
      <c r="G829" s="5"/>
      <c r="H829" s="2"/>
      <c r="I829" s="5"/>
      <c r="J829" s="2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35" ht="13.5" customHeight="1" x14ac:dyDescent="0.15">
      <c r="A830" s="2"/>
      <c r="B830" s="2"/>
      <c r="C830" s="2"/>
      <c r="D830" s="2"/>
      <c r="E830" s="2"/>
      <c r="F830" s="2"/>
      <c r="G830" s="5"/>
      <c r="H830" s="2"/>
      <c r="I830" s="5"/>
      <c r="J830" s="2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35" ht="13.5" customHeight="1" x14ac:dyDescent="0.15">
      <c r="A831" s="2"/>
      <c r="B831" s="2"/>
      <c r="C831" s="2"/>
      <c r="D831" s="2"/>
      <c r="E831" s="2"/>
      <c r="F831" s="2"/>
      <c r="G831" s="5"/>
      <c r="H831" s="2"/>
      <c r="I831" s="5"/>
      <c r="J831" s="2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35" ht="13.5" customHeight="1" x14ac:dyDescent="0.15">
      <c r="A832" s="2"/>
      <c r="B832" s="2"/>
      <c r="C832" s="2"/>
      <c r="D832" s="2"/>
      <c r="E832" s="2"/>
      <c r="F832" s="2"/>
      <c r="G832" s="5"/>
      <c r="H832" s="2"/>
      <c r="I832" s="5"/>
      <c r="J832" s="2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3.5" customHeight="1" x14ac:dyDescent="0.15">
      <c r="A833" s="2"/>
      <c r="B833" s="2"/>
      <c r="C833" s="2"/>
      <c r="D833" s="2"/>
      <c r="E833" s="2"/>
      <c r="F833" s="2"/>
      <c r="G833" s="5"/>
      <c r="H833" s="2"/>
      <c r="I833" s="5"/>
      <c r="J833" s="2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3.5" customHeight="1" x14ac:dyDescent="0.15">
      <c r="A834" s="2"/>
      <c r="B834" s="2"/>
      <c r="C834" s="2"/>
      <c r="D834" s="2"/>
      <c r="E834" s="2"/>
      <c r="F834" s="2"/>
      <c r="G834" s="5"/>
      <c r="H834" s="2"/>
      <c r="I834" s="5"/>
      <c r="J834" s="2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3.5" customHeight="1" x14ac:dyDescent="0.15">
      <c r="A835" s="2"/>
      <c r="B835" s="2"/>
      <c r="C835" s="2"/>
      <c r="D835" s="2"/>
      <c r="E835" s="2"/>
      <c r="F835" s="2"/>
      <c r="G835" s="5"/>
      <c r="H835" s="2"/>
      <c r="I835" s="5"/>
      <c r="J835" s="2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3.5" customHeight="1" x14ac:dyDescent="0.15">
      <c r="A836" s="2"/>
      <c r="B836" s="2"/>
      <c r="C836" s="2"/>
      <c r="D836" s="2"/>
      <c r="E836" s="2"/>
      <c r="F836" s="2"/>
      <c r="G836" s="5"/>
      <c r="H836" s="2"/>
      <c r="I836" s="5"/>
      <c r="J836" s="2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3.5" customHeight="1" x14ac:dyDescent="0.15">
      <c r="A837" s="2"/>
      <c r="B837" s="2"/>
      <c r="C837" s="2"/>
      <c r="D837" s="2"/>
      <c r="E837" s="2"/>
      <c r="F837" s="2"/>
      <c r="G837" s="5"/>
      <c r="H837" s="2"/>
      <c r="I837" s="5"/>
      <c r="J837" s="2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3.5" customHeight="1" x14ac:dyDescent="0.15">
      <c r="A838" s="2"/>
      <c r="B838" s="2"/>
      <c r="C838" s="2"/>
      <c r="D838" s="2"/>
      <c r="E838" s="2"/>
      <c r="F838" s="2"/>
      <c r="G838" s="5"/>
      <c r="H838" s="2"/>
      <c r="I838" s="5"/>
      <c r="J838" s="2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3.5" customHeight="1" x14ac:dyDescent="0.15">
      <c r="A839" s="2"/>
      <c r="B839" s="2"/>
      <c r="C839" s="2"/>
      <c r="D839" s="2"/>
      <c r="E839" s="2"/>
      <c r="F839" s="2"/>
      <c r="G839" s="5"/>
      <c r="H839" s="2"/>
      <c r="I839" s="5"/>
      <c r="J839" s="2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3.5" customHeight="1" x14ac:dyDescent="0.15">
      <c r="A840" s="2"/>
      <c r="B840" s="2"/>
      <c r="C840" s="2"/>
      <c r="D840" s="2"/>
      <c r="E840" s="2"/>
      <c r="F840" s="2"/>
      <c r="G840" s="5"/>
      <c r="H840" s="2"/>
      <c r="I840" s="5"/>
      <c r="J840" s="2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3.5" customHeight="1" x14ac:dyDescent="0.15">
      <c r="A841" s="2"/>
      <c r="B841" s="2"/>
      <c r="C841" s="2"/>
      <c r="D841" s="2"/>
      <c r="E841" s="2"/>
      <c r="F841" s="2"/>
      <c r="G841" s="5"/>
      <c r="H841" s="2"/>
      <c r="I841" s="5"/>
      <c r="J841" s="2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3.5" customHeight="1" x14ac:dyDescent="0.15">
      <c r="A842" s="2"/>
      <c r="B842" s="2"/>
      <c r="C842" s="2"/>
      <c r="D842" s="2"/>
      <c r="E842" s="2"/>
      <c r="F842" s="2"/>
      <c r="G842" s="5"/>
      <c r="H842" s="2"/>
      <c r="I842" s="5"/>
      <c r="J842" s="2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3.5" customHeight="1" x14ac:dyDescent="0.15">
      <c r="A843" s="2"/>
      <c r="B843" s="2"/>
      <c r="C843" s="2"/>
      <c r="D843" s="2"/>
      <c r="E843" s="2"/>
      <c r="F843" s="2"/>
      <c r="G843" s="5"/>
      <c r="H843" s="2"/>
      <c r="I843" s="5"/>
      <c r="J843" s="2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3.5" customHeight="1" x14ac:dyDescent="0.15">
      <c r="A844" s="2"/>
      <c r="B844" s="2"/>
      <c r="C844" s="2"/>
      <c r="D844" s="2"/>
      <c r="E844" s="2"/>
      <c r="F844" s="2"/>
      <c r="G844" s="5"/>
      <c r="H844" s="2"/>
      <c r="I844" s="5"/>
      <c r="J844" s="2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3.5" customHeight="1" x14ac:dyDescent="0.15">
      <c r="A845" s="2"/>
      <c r="B845" s="2"/>
      <c r="C845" s="2"/>
      <c r="D845" s="2"/>
      <c r="E845" s="2"/>
      <c r="F845" s="2"/>
      <c r="G845" s="5"/>
      <c r="H845" s="2"/>
      <c r="I845" s="5"/>
      <c r="J845" s="2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3.5" customHeight="1" x14ac:dyDescent="0.15">
      <c r="A846" s="2"/>
      <c r="B846" s="2"/>
      <c r="C846" s="2"/>
      <c r="D846" s="2"/>
      <c r="E846" s="2"/>
      <c r="F846" s="2"/>
      <c r="G846" s="5"/>
      <c r="H846" s="2"/>
      <c r="I846" s="5"/>
      <c r="J846" s="2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3.5" customHeight="1" x14ac:dyDescent="0.15">
      <c r="A847" s="2"/>
      <c r="B847" s="2"/>
      <c r="C847" s="2"/>
      <c r="D847" s="2"/>
      <c r="E847" s="2"/>
      <c r="F847" s="2"/>
      <c r="G847" s="5"/>
      <c r="H847" s="2"/>
      <c r="I847" s="5"/>
      <c r="J847" s="2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3.5" customHeight="1" x14ac:dyDescent="0.15">
      <c r="A848" s="2"/>
      <c r="B848" s="2"/>
      <c r="C848" s="2"/>
      <c r="D848" s="2"/>
      <c r="E848" s="2"/>
      <c r="F848" s="2"/>
      <c r="G848" s="5"/>
      <c r="H848" s="2"/>
      <c r="I848" s="5"/>
      <c r="J848" s="2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3.5" customHeight="1" x14ac:dyDescent="0.15">
      <c r="A849" s="2"/>
      <c r="B849" s="2"/>
      <c r="C849" s="2"/>
      <c r="D849" s="2"/>
      <c r="E849" s="2"/>
      <c r="F849" s="2"/>
      <c r="G849" s="5"/>
      <c r="H849" s="2"/>
      <c r="I849" s="5"/>
      <c r="J849" s="2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3.5" customHeight="1" x14ac:dyDescent="0.15">
      <c r="A850" s="2"/>
      <c r="B850" s="2"/>
      <c r="C850" s="2"/>
      <c r="D850" s="2"/>
      <c r="E850" s="2"/>
      <c r="F850" s="2"/>
      <c r="G850" s="5"/>
      <c r="H850" s="2"/>
      <c r="I850" s="5"/>
      <c r="J850" s="2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3.5" customHeight="1" x14ac:dyDescent="0.15">
      <c r="A851" s="2"/>
      <c r="B851" s="2"/>
      <c r="C851" s="2"/>
      <c r="D851" s="2"/>
      <c r="E851" s="2"/>
      <c r="F851" s="2"/>
      <c r="G851" s="5"/>
      <c r="H851" s="2"/>
      <c r="I851" s="5"/>
      <c r="J851" s="2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3.5" customHeight="1" x14ac:dyDescent="0.15">
      <c r="A852" s="2"/>
      <c r="B852" s="2"/>
      <c r="C852" s="2"/>
      <c r="D852" s="2"/>
      <c r="E852" s="2"/>
      <c r="F852" s="2"/>
      <c r="G852" s="5"/>
      <c r="H852" s="2"/>
      <c r="I852" s="5"/>
      <c r="J852" s="2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3.5" customHeight="1" x14ac:dyDescent="0.15">
      <c r="A853" s="2"/>
      <c r="B853" s="2"/>
      <c r="C853" s="2"/>
      <c r="D853" s="2"/>
      <c r="E853" s="2"/>
      <c r="F853" s="2"/>
      <c r="G853" s="5"/>
      <c r="H853" s="2"/>
      <c r="I853" s="5"/>
      <c r="J853" s="2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3.5" customHeight="1" x14ac:dyDescent="0.15">
      <c r="A854" s="2"/>
      <c r="B854" s="2"/>
      <c r="C854" s="2"/>
      <c r="D854" s="2"/>
      <c r="E854" s="2"/>
      <c r="F854" s="2"/>
      <c r="G854" s="5"/>
      <c r="H854" s="2"/>
      <c r="I854" s="5"/>
      <c r="J854" s="2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3.5" customHeight="1" x14ac:dyDescent="0.15">
      <c r="A855" s="2"/>
      <c r="B855" s="2"/>
      <c r="C855" s="2"/>
      <c r="D855" s="2"/>
      <c r="E855" s="2"/>
      <c r="F855" s="2"/>
      <c r="G855" s="5"/>
      <c r="H855" s="2"/>
      <c r="I855" s="5"/>
      <c r="J855" s="2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3.5" customHeight="1" x14ac:dyDescent="0.15">
      <c r="A856" s="2"/>
      <c r="B856" s="2"/>
      <c r="C856" s="2"/>
      <c r="D856" s="2"/>
      <c r="E856" s="2"/>
      <c r="F856" s="2"/>
      <c r="G856" s="5"/>
      <c r="H856" s="2"/>
      <c r="I856" s="5"/>
      <c r="J856" s="2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3.5" customHeight="1" x14ac:dyDescent="0.15">
      <c r="A857" s="2"/>
      <c r="B857" s="2"/>
      <c r="C857" s="2"/>
      <c r="D857" s="2"/>
      <c r="E857" s="2"/>
      <c r="F857" s="2"/>
      <c r="G857" s="5"/>
      <c r="H857" s="2"/>
      <c r="I857" s="5"/>
      <c r="J857" s="2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3.5" customHeight="1" x14ac:dyDescent="0.15">
      <c r="A858" s="2"/>
      <c r="B858" s="2"/>
      <c r="C858" s="2"/>
      <c r="D858" s="2"/>
      <c r="E858" s="2"/>
      <c r="F858" s="2"/>
      <c r="G858" s="5"/>
      <c r="H858" s="2"/>
      <c r="I858" s="5"/>
      <c r="J858" s="2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3.5" customHeight="1" x14ac:dyDescent="0.15">
      <c r="A859" s="2"/>
      <c r="B859" s="2"/>
      <c r="C859" s="2"/>
      <c r="D859" s="2"/>
      <c r="E859" s="2"/>
      <c r="F859" s="2"/>
      <c r="G859" s="5"/>
      <c r="H859" s="2"/>
      <c r="I859" s="5"/>
      <c r="J859" s="2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3.5" customHeight="1" x14ac:dyDescent="0.15">
      <c r="A860" s="2"/>
      <c r="B860" s="2"/>
      <c r="C860" s="2"/>
      <c r="D860" s="2"/>
      <c r="E860" s="2"/>
      <c r="F860" s="2"/>
      <c r="G860" s="5"/>
      <c r="H860" s="2"/>
      <c r="I860" s="5"/>
      <c r="J860" s="2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3.5" customHeight="1" x14ac:dyDescent="0.15">
      <c r="A861" s="2"/>
      <c r="B861" s="2"/>
      <c r="C861" s="2"/>
      <c r="D861" s="2"/>
      <c r="E861" s="2"/>
      <c r="F861" s="2"/>
      <c r="G861" s="5"/>
      <c r="H861" s="2"/>
      <c r="I861" s="5"/>
      <c r="J861" s="2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3.5" customHeight="1" x14ac:dyDescent="0.15">
      <c r="A862" s="2"/>
      <c r="B862" s="2"/>
      <c r="C862" s="2"/>
      <c r="D862" s="2"/>
      <c r="E862" s="2"/>
      <c r="F862" s="2"/>
      <c r="G862" s="5"/>
      <c r="H862" s="2"/>
      <c r="I862" s="5"/>
      <c r="J862" s="2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3.5" customHeight="1" x14ac:dyDescent="0.15">
      <c r="A863" s="2"/>
      <c r="B863" s="2"/>
      <c r="C863" s="2"/>
      <c r="D863" s="2"/>
      <c r="E863" s="2"/>
      <c r="F863" s="2"/>
      <c r="G863" s="5"/>
      <c r="H863" s="2"/>
      <c r="I863" s="5"/>
      <c r="J863" s="2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3.5" customHeight="1" x14ac:dyDescent="0.15">
      <c r="A864" s="2"/>
      <c r="B864" s="2"/>
      <c r="C864" s="2"/>
      <c r="D864" s="2"/>
      <c r="E864" s="2"/>
      <c r="F864" s="2"/>
      <c r="G864" s="5"/>
      <c r="H864" s="2"/>
      <c r="I864" s="5"/>
      <c r="J864" s="2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3.5" customHeight="1" x14ac:dyDescent="0.15">
      <c r="A865" s="2"/>
      <c r="B865" s="2"/>
      <c r="C865" s="2"/>
      <c r="D865" s="2"/>
      <c r="E865" s="2"/>
      <c r="F865" s="2"/>
      <c r="G865" s="5"/>
      <c r="H865" s="2"/>
      <c r="I865" s="5"/>
      <c r="J865" s="2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3.5" customHeight="1" x14ac:dyDescent="0.15">
      <c r="A866" s="2"/>
      <c r="B866" s="2"/>
      <c r="C866" s="2"/>
      <c r="D866" s="2"/>
      <c r="E866" s="2"/>
      <c r="F866" s="2"/>
      <c r="G866" s="5"/>
      <c r="H866" s="2"/>
      <c r="I866" s="5"/>
      <c r="J866" s="2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3.5" customHeight="1" x14ac:dyDescent="0.15">
      <c r="A867" s="2"/>
      <c r="B867" s="2"/>
      <c r="C867" s="2"/>
      <c r="D867" s="2"/>
      <c r="E867" s="2"/>
      <c r="F867" s="2"/>
      <c r="G867" s="5"/>
      <c r="H867" s="2"/>
      <c r="I867" s="5"/>
      <c r="J867" s="2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3.5" customHeight="1" x14ac:dyDescent="0.15">
      <c r="A868" s="2"/>
      <c r="B868" s="2"/>
      <c r="C868" s="2"/>
      <c r="D868" s="2"/>
      <c r="E868" s="2"/>
      <c r="F868" s="2"/>
      <c r="G868" s="5"/>
      <c r="H868" s="2"/>
      <c r="I868" s="5"/>
      <c r="J868" s="2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3.5" customHeight="1" x14ac:dyDescent="0.15">
      <c r="A869" s="2"/>
      <c r="B869" s="2"/>
      <c r="C869" s="2"/>
      <c r="D869" s="2"/>
      <c r="E869" s="2"/>
      <c r="F869" s="2"/>
      <c r="G869" s="5"/>
      <c r="H869" s="2"/>
      <c r="I869" s="5"/>
      <c r="J869" s="2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3.5" customHeight="1" x14ac:dyDescent="0.15">
      <c r="A870" s="2"/>
      <c r="B870" s="2"/>
      <c r="C870" s="2"/>
      <c r="D870" s="2"/>
      <c r="E870" s="2"/>
      <c r="F870" s="2"/>
      <c r="G870" s="5"/>
      <c r="H870" s="2"/>
      <c r="I870" s="5"/>
      <c r="J870" s="2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3.5" customHeight="1" x14ac:dyDescent="0.15">
      <c r="A871" s="2"/>
      <c r="B871" s="2"/>
      <c r="C871" s="2"/>
      <c r="D871" s="2"/>
      <c r="E871" s="2"/>
      <c r="F871" s="2"/>
      <c r="G871" s="5"/>
      <c r="H871" s="2"/>
      <c r="I871" s="5"/>
      <c r="J871" s="2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3.5" customHeight="1" x14ac:dyDescent="0.15">
      <c r="A872" s="2"/>
      <c r="B872" s="2"/>
      <c r="C872" s="2"/>
      <c r="D872" s="2"/>
      <c r="E872" s="2"/>
      <c r="F872" s="2"/>
      <c r="G872" s="5"/>
      <c r="H872" s="2"/>
      <c r="I872" s="5"/>
      <c r="J872" s="2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3.5" customHeight="1" x14ac:dyDescent="0.15">
      <c r="A873" s="2"/>
      <c r="B873" s="2"/>
      <c r="C873" s="2"/>
      <c r="D873" s="2"/>
      <c r="E873" s="2"/>
      <c r="F873" s="2"/>
      <c r="G873" s="5"/>
      <c r="H873" s="2"/>
      <c r="I873" s="5"/>
      <c r="J873" s="2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3.5" customHeight="1" x14ac:dyDescent="0.15">
      <c r="A874" s="2"/>
      <c r="B874" s="2"/>
      <c r="C874" s="2"/>
      <c r="D874" s="2"/>
      <c r="E874" s="2"/>
      <c r="F874" s="2"/>
      <c r="G874" s="5"/>
      <c r="H874" s="2"/>
      <c r="I874" s="5"/>
      <c r="J874" s="2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3.5" customHeight="1" x14ac:dyDescent="0.15">
      <c r="A875" s="2"/>
      <c r="B875" s="2"/>
      <c r="C875" s="2"/>
      <c r="D875" s="2"/>
      <c r="E875" s="2"/>
      <c r="F875" s="2"/>
      <c r="G875" s="5"/>
      <c r="H875" s="2"/>
      <c r="I875" s="5"/>
      <c r="J875" s="2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3.5" customHeight="1" x14ac:dyDescent="0.15">
      <c r="A876" s="2"/>
      <c r="B876" s="2"/>
      <c r="C876" s="2"/>
      <c r="D876" s="2"/>
      <c r="E876" s="2"/>
      <c r="F876" s="2"/>
      <c r="G876" s="5"/>
      <c r="H876" s="2"/>
      <c r="I876" s="5"/>
      <c r="J876" s="2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3.5" customHeight="1" x14ac:dyDescent="0.15">
      <c r="A877" s="2"/>
      <c r="B877" s="2"/>
      <c r="C877" s="2"/>
      <c r="D877" s="2"/>
      <c r="E877" s="2"/>
      <c r="F877" s="2"/>
      <c r="G877" s="5"/>
      <c r="H877" s="2"/>
      <c r="I877" s="5"/>
      <c r="J877" s="2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3.5" customHeight="1" x14ac:dyDescent="0.15">
      <c r="A878" s="2"/>
      <c r="B878" s="2"/>
      <c r="C878" s="2"/>
      <c r="D878" s="2"/>
      <c r="E878" s="2"/>
      <c r="F878" s="2"/>
      <c r="G878" s="5"/>
      <c r="H878" s="2"/>
      <c r="I878" s="5"/>
      <c r="J878" s="2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3.5" customHeight="1" x14ac:dyDescent="0.15">
      <c r="A879" s="2"/>
      <c r="B879" s="2"/>
      <c r="C879" s="2"/>
      <c r="D879" s="2"/>
      <c r="E879" s="2"/>
      <c r="F879" s="2"/>
      <c r="G879" s="5"/>
      <c r="H879" s="2"/>
      <c r="I879" s="5"/>
      <c r="J879" s="2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3.5" customHeight="1" x14ac:dyDescent="0.15">
      <c r="A880" s="2"/>
      <c r="B880" s="2"/>
      <c r="C880" s="2"/>
      <c r="D880" s="2"/>
      <c r="E880" s="2"/>
      <c r="F880" s="2"/>
      <c r="G880" s="5"/>
      <c r="H880" s="2"/>
      <c r="I880" s="5"/>
      <c r="J880" s="2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3.5" customHeight="1" x14ac:dyDescent="0.15">
      <c r="A881" s="2"/>
      <c r="B881" s="2"/>
      <c r="C881" s="2"/>
      <c r="D881" s="2"/>
      <c r="E881" s="2"/>
      <c r="F881" s="2"/>
      <c r="G881" s="5"/>
      <c r="H881" s="2"/>
      <c r="I881" s="5"/>
      <c r="J881" s="2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3.5" customHeight="1" x14ac:dyDescent="0.15">
      <c r="A882" s="2"/>
      <c r="B882" s="2"/>
      <c r="C882" s="2"/>
      <c r="D882" s="2"/>
      <c r="E882" s="2"/>
      <c r="F882" s="2"/>
      <c r="G882" s="5"/>
      <c r="H882" s="2"/>
      <c r="I882" s="5"/>
      <c r="J882" s="2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3.5" customHeight="1" x14ac:dyDescent="0.15">
      <c r="A883" s="2"/>
      <c r="B883" s="2"/>
      <c r="C883" s="2"/>
      <c r="D883" s="2"/>
      <c r="E883" s="2"/>
      <c r="F883" s="2"/>
      <c r="G883" s="5"/>
      <c r="H883" s="2"/>
      <c r="I883" s="5"/>
      <c r="J883" s="2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3.5" customHeight="1" x14ac:dyDescent="0.15">
      <c r="A884" s="2"/>
      <c r="B884" s="2"/>
      <c r="C884" s="2"/>
      <c r="D884" s="2"/>
      <c r="E884" s="2"/>
      <c r="F884" s="2"/>
      <c r="G884" s="5"/>
      <c r="H884" s="2"/>
      <c r="I884" s="5"/>
      <c r="J884" s="2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3.5" customHeight="1" x14ac:dyDescent="0.15">
      <c r="A885" s="2"/>
      <c r="B885" s="2"/>
      <c r="C885" s="2"/>
      <c r="D885" s="2"/>
      <c r="E885" s="2"/>
      <c r="F885" s="2"/>
      <c r="G885" s="5"/>
      <c r="H885" s="2"/>
      <c r="I885" s="5"/>
      <c r="J885" s="2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3.5" customHeight="1" x14ac:dyDescent="0.15">
      <c r="A886" s="2"/>
      <c r="B886" s="2"/>
      <c r="C886" s="2"/>
      <c r="D886" s="2"/>
      <c r="E886" s="2"/>
      <c r="F886" s="2"/>
      <c r="G886" s="5"/>
      <c r="H886" s="2"/>
      <c r="I886" s="5"/>
      <c r="J886" s="2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3.5" customHeight="1" x14ac:dyDescent="0.15">
      <c r="A887" s="2"/>
      <c r="B887" s="2"/>
      <c r="C887" s="2"/>
      <c r="D887" s="2"/>
      <c r="E887" s="2"/>
      <c r="F887" s="2"/>
      <c r="G887" s="5"/>
      <c r="H887" s="2"/>
      <c r="I887" s="5"/>
      <c r="J887" s="2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3.5" customHeight="1" x14ac:dyDescent="0.15">
      <c r="A888" s="2"/>
      <c r="B888" s="2"/>
      <c r="C888" s="2"/>
      <c r="D888" s="2"/>
      <c r="E888" s="2"/>
      <c r="F888" s="2"/>
      <c r="G888" s="5"/>
      <c r="H888" s="2"/>
      <c r="I888" s="5"/>
      <c r="J888" s="2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3.5" customHeight="1" x14ac:dyDescent="0.15">
      <c r="A889" s="2"/>
      <c r="B889" s="2"/>
      <c r="C889" s="2"/>
      <c r="D889" s="2"/>
      <c r="E889" s="2"/>
      <c r="F889" s="2"/>
      <c r="G889" s="5"/>
      <c r="H889" s="2"/>
      <c r="I889" s="5"/>
      <c r="J889" s="2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3.5" customHeight="1" x14ac:dyDescent="0.15">
      <c r="A890" s="2"/>
      <c r="B890" s="2"/>
      <c r="C890" s="2"/>
      <c r="D890" s="2"/>
      <c r="E890" s="2"/>
      <c r="F890" s="2"/>
      <c r="G890" s="5"/>
      <c r="H890" s="2"/>
      <c r="I890" s="5"/>
      <c r="J890" s="2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3.5" customHeight="1" x14ac:dyDescent="0.15">
      <c r="A891" s="2"/>
      <c r="B891" s="2"/>
      <c r="C891" s="2"/>
      <c r="D891" s="2"/>
      <c r="E891" s="2"/>
      <c r="F891" s="2"/>
      <c r="G891" s="5"/>
      <c r="H891" s="2"/>
      <c r="I891" s="5"/>
      <c r="J891" s="2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3.5" customHeight="1" x14ac:dyDescent="0.15">
      <c r="A892" s="2"/>
      <c r="B892" s="2"/>
      <c r="C892" s="2"/>
      <c r="D892" s="2"/>
      <c r="E892" s="2"/>
      <c r="F892" s="2"/>
      <c r="G892" s="5"/>
      <c r="H892" s="2"/>
      <c r="I892" s="5"/>
      <c r="J892" s="2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3.5" customHeight="1" x14ac:dyDescent="0.15">
      <c r="A893" s="2"/>
      <c r="B893" s="2"/>
      <c r="C893" s="2"/>
      <c r="D893" s="2"/>
      <c r="E893" s="2"/>
      <c r="F893" s="2"/>
      <c r="G893" s="5"/>
      <c r="H893" s="2"/>
      <c r="I893" s="5"/>
      <c r="J893" s="2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3.5" customHeight="1" x14ac:dyDescent="0.15">
      <c r="A894" s="2"/>
      <c r="B894" s="2"/>
      <c r="C894" s="2"/>
      <c r="D894" s="2"/>
      <c r="E894" s="2"/>
      <c r="F894" s="2"/>
      <c r="G894" s="5"/>
      <c r="H894" s="2"/>
      <c r="I894" s="5"/>
      <c r="J894" s="2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3.5" customHeight="1" x14ac:dyDescent="0.15">
      <c r="A895" s="2"/>
      <c r="B895" s="2"/>
      <c r="C895" s="2"/>
      <c r="D895" s="2"/>
      <c r="E895" s="2"/>
      <c r="F895" s="2"/>
      <c r="G895" s="5"/>
      <c r="H895" s="2"/>
      <c r="I895" s="5"/>
      <c r="J895" s="2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3.5" customHeight="1" x14ac:dyDescent="0.15">
      <c r="A896" s="2"/>
      <c r="B896" s="2"/>
      <c r="C896" s="2"/>
      <c r="D896" s="2"/>
      <c r="E896" s="2"/>
      <c r="F896" s="2"/>
      <c r="G896" s="5"/>
      <c r="H896" s="2"/>
      <c r="I896" s="5"/>
      <c r="J896" s="2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3.5" customHeight="1" x14ac:dyDescent="0.15">
      <c r="A897" s="2"/>
      <c r="B897" s="2"/>
      <c r="C897" s="2"/>
      <c r="D897" s="2"/>
      <c r="E897" s="2"/>
      <c r="F897" s="2"/>
      <c r="G897" s="5"/>
      <c r="H897" s="2"/>
      <c r="I897" s="5"/>
      <c r="J897" s="2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3.5" customHeight="1" x14ac:dyDescent="0.15">
      <c r="A898" s="2"/>
      <c r="B898" s="2"/>
      <c r="C898" s="2"/>
      <c r="D898" s="2"/>
      <c r="E898" s="2"/>
      <c r="F898" s="2"/>
      <c r="G898" s="5"/>
      <c r="H898" s="2"/>
      <c r="I898" s="5"/>
      <c r="J898" s="2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3.5" customHeight="1" x14ac:dyDescent="0.15">
      <c r="A899" s="2"/>
      <c r="B899" s="2"/>
      <c r="C899" s="2"/>
      <c r="D899" s="2"/>
      <c r="E899" s="2"/>
      <c r="F899" s="2"/>
      <c r="G899" s="5"/>
      <c r="H899" s="2"/>
      <c r="I899" s="5"/>
      <c r="J899" s="2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3.5" customHeight="1" x14ac:dyDescent="0.15">
      <c r="A900" s="2"/>
      <c r="B900" s="2"/>
      <c r="C900" s="2"/>
      <c r="D900" s="2"/>
      <c r="E900" s="2"/>
      <c r="F900" s="2"/>
      <c r="G900" s="5"/>
      <c r="H900" s="2"/>
      <c r="I900" s="5"/>
      <c r="J900" s="2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3.5" customHeight="1" x14ac:dyDescent="0.15">
      <c r="A901" s="2"/>
      <c r="B901" s="2"/>
      <c r="C901" s="2"/>
      <c r="D901" s="2"/>
      <c r="E901" s="2"/>
      <c r="F901" s="2"/>
      <c r="G901" s="5"/>
      <c r="H901" s="2"/>
      <c r="I901" s="5"/>
      <c r="J901" s="2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3.5" customHeight="1" x14ac:dyDescent="0.15">
      <c r="A902" s="2"/>
      <c r="B902" s="2"/>
      <c r="C902" s="2"/>
      <c r="D902" s="2"/>
      <c r="E902" s="2"/>
      <c r="F902" s="2"/>
      <c r="G902" s="5"/>
      <c r="H902" s="2"/>
      <c r="I902" s="5"/>
      <c r="J902" s="2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3.5" customHeight="1" x14ac:dyDescent="0.15">
      <c r="A903" s="2"/>
      <c r="B903" s="2"/>
      <c r="C903" s="2"/>
      <c r="D903" s="2"/>
      <c r="E903" s="2"/>
      <c r="F903" s="2"/>
      <c r="G903" s="5"/>
      <c r="H903" s="2"/>
      <c r="I903" s="5"/>
      <c r="J903" s="2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3.5" customHeight="1" x14ac:dyDescent="0.15">
      <c r="A904" s="2"/>
      <c r="B904" s="2"/>
      <c r="C904" s="2"/>
      <c r="D904" s="2"/>
      <c r="E904" s="2"/>
      <c r="F904" s="2"/>
      <c r="G904" s="5"/>
      <c r="H904" s="2"/>
      <c r="I904" s="5"/>
      <c r="J904" s="2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3.5" customHeight="1" x14ac:dyDescent="0.15">
      <c r="A905" s="2"/>
      <c r="B905" s="2"/>
      <c r="C905" s="2"/>
      <c r="D905" s="2"/>
      <c r="E905" s="2"/>
      <c r="F905" s="2"/>
      <c r="G905" s="5"/>
      <c r="H905" s="2"/>
      <c r="I905" s="5"/>
      <c r="J905" s="2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3.5" customHeight="1" x14ac:dyDescent="0.15">
      <c r="A906" s="2"/>
      <c r="B906" s="2"/>
      <c r="C906" s="2"/>
      <c r="D906" s="2"/>
      <c r="E906" s="2"/>
      <c r="F906" s="2"/>
      <c r="G906" s="5"/>
      <c r="H906" s="2"/>
      <c r="I906" s="5"/>
      <c r="J906" s="2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3.5" customHeight="1" x14ac:dyDescent="0.15">
      <c r="A907" s="2"/>
      <c r="B907" s="2"/>
      <c r="C907" s="2"/>
      <c r="D907" s="2"/>
      <c r="E907" s="2"/>
      <c r="F907" s="2"/>
      <c r="G907" s="5"/>
      <c r="H907" s="2"/>
      <c r="I907" s="5"/>
      <c r="J907" s="2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3.5" customHeight="1" x14ac:dyDescent="0.15">
      <c r="A908" s="2"/>
      <c r="B908" s="2"/>
      <c r="C908" s="2"/>
      <c r="D908" s="2"/>
      <c r="E908" s="2"/>
      <c r="F908" s="2"/>
      <c r="G908" s="5"/>
      <c r="H908" s="2"/>
      <c r="I908" s="5"/>
      <c r="J908" s="2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3.5" customHeight="1" x14ac:dyDescent="0.15">
      <c r="A909" s="2"/>
      <c r="B909" s="2"/>
      <c r="C909" s="2"/>
      <c r="D909" s="2"/>
      <c r="E909" s="2"/>
      <c r="F909" s="2"/>
      <c r="G909" s="5"/>
      <c r="H909" s="2"/>
      <c r="I909" s="5"/>
      <c r="J909" s="2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3.5" customHeight="1" x14ac:dyDescent="0.15">
      <c r="A910" s="2"/>
      <c r="B910" s="2"/>
      <c r="C910" s="2"/>
      <c r="D910" s="2"/>
      <c r="E910" s="2"/>
      <c r="F910" s="2"/>
      <c r="G910" s="5"/>
      <c r="H910" s="2"/>
      <c r="I910" s="5"/>
      <c r="J910" s="2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3.5" customHeight="1" x14ac:dyDescent="0.15">
      <c r="A911" s="2"/>
      <c r="B911" s="2"/>
      <c r="C911" s="2"/>
      <c r="D911" s="2"/>
      <c r="E911" s="2"/>
      <c r="F911" s="2"/>
      <c r="G911" s="5"/>
      <c r="H911" s="2"/>
      <c r="I911" s="5"/>
      <c r="J911" s="2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3.5" customHeight="1" x14ac:dyDescent="0.15">
      <c r="A912" s="2"/>
      <c r="B912" s="2"/>
      <c r="C912" s="2"/>
      <c r="D912" s="2"/>
      <c r="E912" s="2"/>
      <c r="F912" s="2"/>
      <c r="G912" s="5"/>
      <c r="H912" s="2"/>
      <c r="I912" s="5"/>
      <c r="J912" s="2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3.5" customHeight="1" x14ac:dyDescent="0.15">
      <c r="A913" s="2"/>
      <c r="B913" s="2"/>
      <c r="C913" s="2"/>
      <c r="D913" s="2"/>
      <c r="E913" s="2"/>
      <c r="F913" s="2"/>
      <c r="G913" s="5"/>
      <c r="H913" s="2"/>
      <c r="I913" s="5"/>
      <c r="J913" s="2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3.5" customHeight="1" x14ac:dyDescent="0.15">
      <c r="A914" s="2"/>
      <c r="B914" s="2"/>
      <c r="C914" s="2"/>
      <c r="D914" s="2"/>
      <c r="E914" s="2"/>
      <c r="F914" s="2"/>
      <c r="G914" s="5"/>
      <c r="H914" s="2"/>
      <c r="I914" s="5"/>
      <c r="J914" s="2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3.5" customHeight="1" x14ac:dyDescent="0.15">
      <c r="A915" s="2"/>
      <c r="B915" s="2"/>
      <c r="C915" s="2"/>
      <c r="D915" s="2"/>
      <c r="E915" s="2"/>
      <c r="F915" s="2"/>
      <c r="G915" s="5"/>
      <c r="H915" s="2"/>
      <c r="I915" s="5"/>
      <c r="J915" s="2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3.5" customHeight="1" x14ac:dyDescent="0.15">
      <c r="A916" s="2"/>
      <c r="B916" s="2"/>
      <c r="C916" s="2"/>
      <c r="D916" s="2"/>
      <c r="E916" s="2"/>
      <c r="F916" s="2"/>
      <c r="G916" s="5"/>
      <c r="H916" s="2"/>
      <c r="I916" s="5"/>
      <c r="J916" s="2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3.5" customHeight="1" x14ac:dyDescent="0.15">
      <c r="A917" s="2"/>
      <c r="B917" s="2"/>
      <c r="C917" s="2"/>
      <c r="D917" s="2"/>
      <c r="E917" s="2"/>
      <c r="F917" s="2"/>
      <c r="G917" s="5"/>
      <c r="H917" s="2"/>
      <c r="I917" s="5"/>
      <c r="J917" s="2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3.5" customHeight="1" x14ac:dyDescent="0.15">
      <c r="A918" s="2"/>
      <c r="B918" s="2"/>
      <c r="C918" s="2"/>
      <c r="D918" s="2"/>
      <c r="E918" s="2"/>
      <c r="F918" s="2"/>
      <c r="G918" s="5"/>
      <c r="H918" s="2"/>
      <c r="I918" s="5"/>
      <c r="J918" s="2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3.5" customHeight="1" x14ac:dyDescent="0.15">
      <c r="A919" s="2"/>
      <c r="B919" s="2"/>
      <c r="C919" s="2"/>
      <c r="D919" s="2"/>
      <c r="E919" s="2"/>
      <c r="F919" s="2"/>
      <c r="G919" s="5"/>
      <c r="H919" s="2"/>
      <c r="I919" s="5"/>
      <c r="J919" s="2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3.5" customHeight="1" x14ac:dyDescent="0.15">
      <c r="A920" s="2"/>
      <c r="B920" s="2"/>
      <c r="C920" s="2"/>
      <c r="D920" s="2"/>
      <c r="E920" s="2"/>
      <c r="F920" s="2"/>
      <c r="G920" s="5"/>
      <c r="H920" s="2"/>
      <c r="I920" s="5"/>
      <c r="J920" s="2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3.5" customHeight="1" x14ac:dyDescent="0.15">
      <c r="A921" s="2"/>
      <c r="B921" s="2"/>
      <c r="C921" s="2"/>
      <c r="D921" s="2"/>
      <c r="E921" s="2"/>
      <c r="F921" s="2"/>
      <c r="G921" s="5"/>
      <c r="H921" s="2"/>
      <c r="I921" s="5"/>
      <c r="J921" s="2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3.5" customHeight="1" x14ac:dyDescent="0.15">
      <c r="A922" s="2"/>
      <c r="B922" s="2"/>
      <c r="C922" s="2"/>
      <c r="D922" s="2"/>
      <c r="E922" s="2"/>
      <c r="F922" s="2"/>
      <c r="G922" s="5"/>
      <c r="H922" s="2"/>
      <c r="I922" s="5"/>
      <c r="J922" s="2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3.5" customHeight="1" x14ac:dyDescent="0.15">
      <c r="A923" s="2"/>
      <c r="B923" s="2"/>
      <c r="C923" s="2"/>
      <c r="D923" s="2"/>
      <c r="E923" s="2"/>
      <c r="F923" s="2"/>
      <c r="G923" s="5"/>
      <c r="H923" s="2"/>
      <c r="I923" s="5"/>
      <c r="J923" s="2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3.5" customHeight="1" x14ac:dyDescent="0.15">
      <c r="A924" s="2"/>
      <c r="B924" s="2"/>
      <c r="C924" s="2"/>
      <c r="D924" s="2"/>
      <c r="E924" s="2"/>
      <c r="F924" s="2"/>
      <c r="G924" s="5"/>
      <c r="H924" s="2"/>
      <c r="I924" s="5"/>
      <c r="J924" s="2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3.5" customHeight="1" x14ac:dyDescent="0.15">
      <c r="A925" s="2"/>
      <c r="B925" s="2"/>
      <c r="C925" s="2"/>
      <c r="D925" s="2"/>
      <c r="E925" s="2"/>
      <c r="F925" s="2"/>
      <c r="G925" s="5"/>
      <c r="H925" s="2"/>
      <c r="I925" s="5"/>
      <c r="J925" s="2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3.5" customHeight="1" x14ac:dyDescent="0.15">
      <c r="A926" s="2"/>
      <c r="B926" s="2"/>
      <c r="C926" s="2"/>
      <c r="D926" s="2"/>
      <c r="E926" s="2"/>
      <c r="F926" s="2"/>
      <c r="G926" s="5"/>
      <c r="H926" s="2"/>
      <c r="I926" s="5"/>
      <c r="J926" s="2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3.5" customHeight="1" x14ac:dyDescent="0.15">
      <c r="A927" s="2"/>
      <c r="B927" s="2"/>
      <c r="C927" s="2"/>
      <c r="D927" s="2"/>
      <c r="E927" s="2"/>
      <c r="F927" s="2"/>
      <c r="G927" s="5"/>
      <c r="H927" s="2"/>
      <c r="I927" s="5"/>
      <c r="J927" s="2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3.5" customHeight="1" x14ac:dyDescent="0.15">
      <c r="A928" s="2"/>
      <c r="B928" s="2"/>
      <c r="C928" s="2"/>
      <c r="D928" s="2"/>
      <c r="E928" s="2"/>
      <c r="F928" s="2"/>
      <c r="G928" s="5"/>
      <c r="H928" s="2"/>
      <c r="I928" s="5"/>
      <c r="J928" s="2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3.5" customHeight="1" x14ac:dyDescent="0.15">
      <c r="A929" s="2"/>
      <c r="B929" s="2"/>
      <c r="C929" s="2"/>
      <c r="D929" s="2"/>
      <c r="E929" s="2"/>
      <c r="F929" s="2"/>
      <c r="G929" s="5"/>
      <c r="H929" s="2"/>
      <c r="I929" s="5"/>
      <c r="J929" s="2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3.5" customHeight="1" x14ac:dyDescent="0.15">
      <c r="A930" s="2"/>
      <c r="B930" s="2"/>
      <c r="C930" s="2"/>
      <c r="D930" s="2"/>
      <c r="E930" s="2"/>
      <c r="F930" s="2"/>
      <c r="G930" s="5"/>
      <c r="H930" s="2"/>
      <c r="I930" s="5"/>
      <c r="J930" s="2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3.5" customHeight="1" x14ac:dyDescent="0.15">
      <c r="A931" s="2"/>
      <c r="B931" s="2"/>
      <c r="C931" s="2"/>
      <c r="D931" s="2"/>
      <c r="E931" s="2"/>
      <c r="F931" s="2"/>
      <c r="G931" s="5"/>
      <c r="H931" s="2"/>
      <c r="I931" s="5"/>
      <c r="J931" s="2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3.5" customHeight="1" x14ac:dyDescent="0.15">
      <c r="A932" s="2"/>
      <c r="B932" s="2"/>
      <c r="C932" s="2"/>
      <c r="D932" s="2"/>
      <c r="E932" s="2"/>
      <c r="F932" s="2"/>
      <c r="G932" s="5"/>
      <c r="H932" s="2"/>
      <c r="I932" s="5"/>
      <c r="J932" s="2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3.5" customHeight="1" x14ac:dyDescent="0.15">
      <c r="A933" s="2"/>
      <c r="B933" s="2"/>
      <c r="C933" s="2"/>
      <c r="D933" s="2"/>
      <c r="E933" s="2"/>
      <c r="F933" s="2"/>
      <c r="G933" s="5"/>
      <c r="H933" s="2"/>
      <c r="I933" s="5"/>
      <c r="J933" s="2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3.5" customHeight="1" x14ac:dyDescent="0.15">
      <c r="A934" s="2"/>
      <c r="B934" s="2"/>
      <c r="C934" s="2"/>
      <c r="D934" s="2"/>
      <c r="E934" s="2"/>
      <c r="F934" s="2"/>
      <c r="G934" s="5"/>
      <c r="H934" s="2"/>
      <c r="I934" s="5"/>
      <c r="J934" s="2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3.5" customHeight="1" x14ac:dyDescent="0.15">
      <c r="A935" s="2"/>
      <c r="B935" s="2"/>
      <c r="C935" s="2"/>
      <c r="D935" s="2"/>
      <c r="E935" s="2"/>
      <c r="F935" s="2"/>
      <c r="G935" s="5"/>
      <c r="H935" s="2"/>
      <c r="I935" s="5"/>
      <c r="J935" s="2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3.5" customHeight="1" x14ac:dyDescent="0.15">
      <c r="A936" s="2"/>
      <c r="B936" s="2"/>
      <c r="C936" s="2"/>
      <c r="D936" s="2"/>
      <c r="E936" s="2"/>
      <c r="F936" s="2"/>
      <c r="G936" s="5"/>
      <c r="H936" s="2"/>
      <c r="I936" s="5"/>
      <c r="J936" s="2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3.5" customHeight="1" x14ac:dyDescent="0.15">
      <c r="A937" s="2"/>
      <c r="B937" s="2"/>
      <c r="C937" s="2"/>
      <c r="D937" s="2"/>
      <c r="E937" s="2"/>
      <c r="F937" s="2"/>
      <c r="G937" s="5"/>
      <c r="H937" s="2"/>
      <c r="I937" s="5"/>
      <c r="J937" s="2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3.5" customHeight="1" x14ac:dyDescent="0.15">
      <c r="A938" s="2"/>
      <c r="B938" s="2"/>
      <c r="C938" s="2"/>
      <c r="D938" s="2"/>
      <c r="E938" s="2"/>
      <c r="F938" s="2"/>
      <c r="G938" s="5"/>
      <c r="H938" s="2"/>
      <c r="I938" s="5"/>
      <c r="J938" s="2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3.5" customHeight="1" x14ac:dyDescent="0.15">
      <c r="A939" s="2"/>
      <c r="B939" s="2"/>
      <c r="C939" s="2"/>
      <c r="D939" s="2"/>
      <c r="E939" s="2"/>
      <c r="F939" s="2"/>
      <c r="G939" s="5"/>
      <c r="H939" s="2"/>
      <c r="I939" s="5"/>
      <c r="J939" s="2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3.5" customHeight="1" x14ac:dyDescent="0.15">
      <c r="A940" s="2"/>
      <c r="B940" s="2"/>
      <c r="C940" s="2"/>
      <c r="D940" s="2"/>
      <c r="E940" s="2"/>
      <c r="F940" s="2"/>
      <c r="G940" s="5"/>
      <c r="H940" s="2"/>
      <c r="I940" s="5"/>
      <c r="J940" s="2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3.5" customHeight="1" x14ac:dyDescent="0.15">
      <c r="A941" s="2"/>
      <c r="B941" s="2"/>
      <c r="C941" s="2"/>
      <c r="D941" s="2"/>
      <c r="E941" s="2"/>
      <c r="F941" s="2"/>
      <c r="G941" s="5"/>
      <c r="H941" s="2"/>
      <c r="I941" s="5"/>
      <c r="J941" s="2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3.5" customHeight="1" x14ac:dyDescent="0.15">
      <c r="A942" s="2"/>
      <c r="B942" s="2"/>
      <c r="C942" s="2"/>
      <c r="D942" s="2"/>
      <c r="E942" s="2"/>
      <c r="F942" s="2"/>
      <c r="G942" s="5"/>
      <c r="H942" s="2"/>
      <c r="I942" s="5"/>
      <c r="J942" s="2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3.5" customHeight="1" x14ac:dyDescent="0.15">
      <c r="A943" s="2"/>
      <c r="B943" s="2"/>
      <c r="C943" s="2"/>
      <c r="D943" s="2"/>
      <c r="E943" s="2"/>
      <c r="F943" s="2"/>
      <c r="G943" s="5"/>
      <c r="H943" s="2"/>
      <c r="I943" s="5"/>
      <c r="J943" s="2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3.5" customHeight="1" x14ac:dyDescent="0.15">
      <c r="A944" s="2"/>
      <c r="B944" s="2"/>
      <c r="C944" s="2"/>
      <c r="D944" s="2"/>
      <c r="E944" s="2"/>
      <c r="F944" s="2"/>
      <c r="G944" s="5"/>
      <c r="H944" s="2"/>
      <c r="I944" s="5"/>
      <c r="J944" s="2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3.5" customHeight="1" x14ac:dyDescent="0.15">
      <c r="A945" s="2"/>
      <c r="B945" s="2"/>
      <c r="C945" s="2"/>
      <c r="D945" s="2"/>
      <c r="E945" s="2"/>
      <c r="F945" s="2"/>
      <c r="G945" s="5"/>
      <c r="H945" s="2"/>
      <c r="I945" s="5"/>
      <c r="J945" s="2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3.5" customHeight="1" x14ac:dyDescent="0.15">
      <c r="A946" s="2"/>
      <c r="B946" s="2"/>
      <c r="C946" s="2"/>
      <c r="D946" s="2"/>
      <c r="E946" s="2"/>
      <c r="F946" s="2"/>
      <c r="G946" s="5"/>
      <c r="H946" s="2"/>
      <c r="I946" s="5"/>
      <c r="J946" s="2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3.5" customHeight="1" x14ac:dyDescent="0.15">
      <c r="A947" s="2"/>
      <c r="B947" s="2"/>
      <c r="C947" s="2"/>
      <c r="D947" s="2"/>
      <c r="E947" s="2"/>
      <c r="F947" s="2"/>
      <c r="G947" s="5"/>
      <c r="H947" s="2"/>
      <c r="I947" s="5"/>
      <c r="J947" s="2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3.5" customHeight="1" x14ac:dyDescent="0.15">
      <c r="A948" s="2"/>
      <c r="B948" s="2"/>
      <c r="C948" s="2"/>
      <c r="D948" s="2"/>
      <c r="E948" s="2"/>
      <c r="F948" s="2"/>
      <c r="G948" s="5"/>
      <c r="H948" s="2"/>
      <c r="I948" s="5"/>
      <c r="J948" s="2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3.5" customHeight="1" x14ac:dyDescent="0.15">
      <c r="A949" s="2"/>
      <c r="B949" s="2"/>
      <c r="C949" s="2"/>
      <c r="D949" s="2"/>
      <c r="E949" s="2"/>
      <c r="F949" s="2"/>
      <c r="G949" s="5"/>
      <c r="H949" s="2"/>
      <c r="I949" s="5"/>
      <c r="J949" s="2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3.5" customHeight="1" x14ac:dyDescent="0.15">
      <c r="A950" s="2"/>
      <c r="B950" s="2"/>
      <c r="C950" s="2"/>
      <c r="D950" s="2"/>
      <c r="E950" s="2"/>
      <c r="F950" s="2"/>
      <c r="G950" s="5"/>
      <c r="H950" s="2"/>
      <c r="I950" s="5"/>
      <c r="J950" s="2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3.5" customHeight="1" x14ac:dyDescent="0.15">
      <c r="A951" s="2"/>
      <c r="B951" s="2"/>
      <c r="C951" s="2"/>
      <c r="D951" s="2"/>
      <c r="E951" s="2"/>
      <c r="F951" s="2"/>
      <c r="G951" s="5"/>
      <c r="H951" s="2"/>
      <c r="I951" s="5"/>
      <c r="J951" s="2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3.5" customHeight="1" x14ac:dyDescent="0.15">
      <c r="A952" s="2"/>
      <c r="B952" s="2"/>
      <c r="C952" s="2"/>
      <c r="D952" s="2"/>
      <c r="E952" s="2"/>
      <c r="F952" s="2"/>
      <c r="G952" s="5"/>
      <c r="H952" s="2"/>
      <c r="I952" s="5"/>
      <c r="J952" s="2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3.5" customHeight="1" x14ac:dyDescent="0.15">
      <c r="A953" s="2"/>
      <c r="B953" s="2"/>
      <c r="C953" s="2"/>
      <c r="D953" s="2"/>
      <c r="E953" s="2"/>
      <c r="F953" s="2"/>
      <c r="G953" s="5"/>
      <c r="H953" s="2"/>
      <c r="I953" s="5"/>
      <c r="J953" s="2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3.5" customHeight="1" x14ac:dyDescent="0.15">
      <c r="A954" s="2"/>
      <c r="B954" s="2"/>
      <c r="C954" s="2"/>
      <c r="D954" s="2"/>
      <c r="E954" s="2"/>
      <c r="F954" s="2"/>
      <c r="G954" s="5"/>
      <c r="H954" s="2"/>
      <c r="I954" s="5"/>
      <c r="J954" s="2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3.5" customHeight="1" x14ac:dyDescent="0.15">
      <c r="A955" s="2"/>
      <c r="B955" s="2"/>
      <c r="C955" s="2"/>
      <c r="D955" s="2"/>
      <c r="E955" s="2"/>
      <c r="F955" s="2"/>
      <c r="G955" s="5"/>
      <c r="H955" s="2"/>
      <c r="I955" s="5"/>
      <c r="J955" s="2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3.5" customHeight="1" x14ac:dyDescent="0.15">
      <c r="A956" s="2"/>
      <c r="B956" s="2"/>
      <c r="C956" s="2"/>
      <c r="D956" s="2"/>
      <c r="E956" s="2"/>
      <c r="F956" s="2"/>
      <c r="G956" s="5"/>
      <c r="H956" s="2"/>
      <c r="I956" s="5"/>
      <c r="J956" s="2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3.5" customHeight="1" x14ac:dyDescent="0.15">
      <c r="A957" s="2"/>
      <c r="B957" s="2"/>
      <c r="C957" s="2"/>
      <c r="D957" s="2"/>
      <c r="E957" s="2"/>
      <c r="F957" s="2"/>
      <c r="G957" s="5"/>
      <c r="H957" s="2"/>
      <c r="I957" s="5"/>
      <c r="J957" s="2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3.5" customHeight="1" x14ac:dyDescent="0.15">
      <c r="A958" s="2"/>
      <c r="B958" s="2"/>
      <c r="C958" s="2"/>
      <c r="D958" s="2"/>
      <c r="E958" s="2"/>
      <c r="F958" s="2"/>
      <c r="G958" s="5"/>
      <c r="H958" s="2"/>
      <c r="I958" s="5"/>
      <c r="J958" s="2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3.5" customHeight="1" x14ac:dyDescent="0.15">
      <c r="A959" s="2"/>
      <c r="B959" s="2"/>
      <c r="C959" s="2"/>
      <c r="D959" s="2"/>
      <c r="E959" s="2"/>
      <c r="F959" s="2"/>
      <c r="G959" s="5"/>
      <c r="H959" s="2"/>
      <c r="I959" s="5"/>
      <c r="J959" s="2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3.5" customHeight="1" x14ac:dyDescent="0.15">
      <c r="A960" s="2"/>
      <c r="B960" s="2"/>
      <c r="C960" s="2"/>
      <c r="D960" s="2"/>
      <c r="E960" s="2"/>
      <c r="F960" s="2"/>
      <c r="G960" s="5"/>
      <c r="H960" s="2"/>
      <c r="I960" s="5"/>
      <c r="J960" s="2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3.5" customHeight="1" x14ac:dyDescent="0.15">
      <c r="A961" s="2"/>
      <c r="B961" s="2"/>
      <c r="C961" s="2"/>
      <c r="D961" s="2"/>
      <c r="E961" s="2"/>
      <c r="F961" s="2"/>
      <c r="G961" s="5"/>
      <c r="H961" s="2"/>
      <c r="I961" s="5"/>
      <c r="J961" s="2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3.5" customHeight="1" x14ac:dyDescent="0.15">
      <c r="A962" s="2"/>
      <c r="B962" s="2"/>
      <c r="C962" s="2"/>
      <c r="D962" s="2"/>
      <c r="E962" s="2"/>
      <c r="F962" s="2"/>
      <c r="G962" s="5"/>
      <c r="H962" s="2"/>
      <c r="I962" s="5"/>
      <c r="J962" s="2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3.5" customHeight="1" x14ac:dyDescent="0.15">
      <c r="A963" s="2"/>
      <c r="B963" s="2"/>
      <c r="C963" s="2"/>
      <c r="D963" s="2"/>
      <c r="E963" s="2"/>
      <c r="F963" s="2"/>
      <c r="G963" s="5"/>
      <c r="H963" s="2"/>
      <c r="I963" s="5"/>
      <c r="J963" s="2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3.5" customHeight="1" x14ac:dyDescent="0.15">
      <c r="A964" s="2"/>
      <c r="B964" s="2"/>
      <c r="C964" s="2"/>
      <c r="D964" s="2"/>
      <c r="E964" s="2"/>
      <c r="F964" s="2"/>
      <c r="G964" s="5"/>
      <c r="H964" s="2"/>
      <c r="I964" s="5"/>
      <c r="J964" s="2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3.5" customHeight="1" x14ac:dyDescent="0.15">
      <c r="A965" s="2"/>
      <c r="B965" s="2"/>
      <c r="C965" s="2"/>
      <c r="D965" s="2"/>
      <c r="E965" s="2"/>
      <c r="F965" s="2"/>
      <c r="G965" s="5"/>
      <c r="H965" s="2"/>
      <c r="I965" s="5"/>
      <c r="J965" s="2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3.5" customHeight="1" x14ac:dyDescent="0.15">
      <c r="A966" s="2"/>
      <c r="B966" s="2"/>
      <c r="C966" s="2"/>
      <c r="D966" s="2"/>
      <c r="E966" s="2"/>
      <c r="F966" s="2"/>
      <c r="G966" s="5"/>
      <c r="H966" s="2"/>
      <c r="I966" s="5"/>
      <c r="J966" s="2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3.5" customHeight="1" x14ac:dyDescent="0.15">
      <c r="A967" s="2"/>
      <c r="B967" s="2"/>
      <c r="C967" s="2"/>
      <c r="D967" s="2"/>
      <c r="E967" s="2"/>
      <c r="F967" s="2"/>
      <c r="G967" s="5"/>
      <c r="H967" s="2"/>
      <c r="I967" s="5"/>
      <c r="J967" s="2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3.5" customHeight="1" x14ac:dyDescent="0.15">
      <c r="A968" s="2"/>
      <c r="B968" s="2"/>
      <c r="C968" s="2"/>
      <c r="D968" s="2"/>
      <c r="E968" s="2"/>
      <c r="F968" s="2"/>
      <c r="G968" s="5"/>
      <c r="H968" s="2"/>
      <c r="I968" s="5"/>
      <c r="J968" s="2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3.5" customHeight="1" x14ac:dyDescent="0.15">
      <c r="A969" s="2"/>
      <c r="B969" s="2"/>
      <c r="C969" s="2"/>
      <c r="D969" s="2"/>
      <c r="E969" s="2"/>
      <c r="F969" s="2"/>
      <c r="G969" s="5"/>
      <c r="H969" s="2"/>
      <c r="I969" s="5"/>
      <c r="J969" s="2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3.5" customHeight="1" x14ac:dyDescent="0.15">
      <c r="A970" s="2"/>
      <c r="B970" s="2"/>
      <c r="C970" s="2"/>
      <c r="D970" s="2"/>
      <c r="E970" s="2"/>
      <c r="F970" s="2"/>
      <c r="G970" s="5"/>
      <c r="H970" s="2"/>
      <c r="I970" s="5"/>
      <c r="J970" s="2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3.5" customHeight="1" x14ac:dyDescent="0.15">
      <c r="A971" s="2"/>
      <c r="B971" s="2"/>
      <c r="C971" s="2"/>
      <c r="D971" s="2"/>
      <c r="E971" s="2"/>
      <c r="F971" s="2"/>
      <c r="G971" s="5"/>
      <c r="H971" s="2"/>
      <c r="I971" s="5"/>
      <c r="J971" s="2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3.5" customHeight="1" x14ac:dyDescent="0.15">
      <c r="A972" s="2"/>
      <c r="B972" s="2"/>
      <c r="C972" s="2"/>
      <c r="D972" s="2"/>
      <c r="E972" s="2"/>
      <c r="F972" s="2"/>
      <c r="G972" s="5"/>
      <c r="H972" s="2"/>
      <c r="I972" s="5"/>
      <c r="J972" s="2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3.5" customHeight="1" x14ac:dyDescent="0.15">
      <c r="A973" s="2"/>
      <c r="B973" s="2"/>
      <c r="C973" s="2"/>
      <c r="D973" s="2"/>
      <c r="E973" s="2"/>
      <c r="F973" s="2"/>
      <c r="G973" s="5"/>
      <c r="H973" s="2"/>
      <c r="I973" s="5"/>
      <c r="J973" s="2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3.5" customHeight="1" x14ac:dyDescent="0.15">
      <c r="A974" s="2"/>
      <c r="B974" s="2"/>
      <c r="C974" s="2"/>
      <c r="D974" s="2"/>
      <c r="E974" s="2"/>
      <c r="F974" s="2"/>
      <c r="G974" s="5"/>
      <c r="H974" s="2"/>
      <c r="I974" s="5"/>
      <c r="J974" s="2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3.5" customHeight="1" x14ac:dyDescent="0.15">
      <c r="A975" s="2"/>
      <c r="B975" s="2"/>
      <c r="C975" s="2"/>
      <c r="D975" s="2"/>
      <c r="E975" s="2"/>
      <c r="F975" s="2"/>
      <c r="G975" s="5"/>
      <c r="H975" s="2"/>
      <c r="I975" s="5"/>
      <c r="J975" s="2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3.5" customHeight="1" x14ac:dyDescent="0.15">
      <c r="A976" s="2"/>
      <c r="B976" s="2"/>
      <c r="C976" s="2"/>
      <c r="D976" s="2"/>
      <c r="E976" s="2"/>
      <c r="F976" s="2"/>
      <c r="G976" s="5"/>
      <c r="H976" s="2"/>
      <c r="I976" s="5"/>
      <c r="J976" s="2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3.5" customHeight="1" x14ac:dyDescent="0.15">
      <c r="A977" s="2"/>
      <c r="B977" s="2"/>
      <c r="C977" s="2"/>
      <c r="D977" s="2"/>
      <c r="E977" s="2"/>
      <c r="F977" s="2"/>
      <c r="G977" s="5"/>
      <c r="H977" s="2"/>
      <c r="I977" s="5"/>
      <c r="J977" s="2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3.5" customHeight="1" x14ac:dyDescent="0.15">
      <c r="A978" s="2"/>
      <c r="B978" s="2"/>
      <c r="C978" s="2"/>
      <c r="D978" s="2"/>
      <c r="E978" s="2"/>
      <c r="F978" s="2"/>
      <c r="G978" s="5"/>
      <c r="H978" s="2"/>
      <c r="I978" s="5"/>
      <c r="J978" s="2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3.5" customHeight="1" x14ac:dyDescent="0.15">
      <c r="A979" s="2"/>
      <c r="B979" s="2"/>
      <c r="C979" s="2"/>
      <c r="D979" s="2"/>
      <c r="E979" s="2"/>
      <c r="F979" s="2"/>
      <c r="G979" s="5"/>
      <c r="H979" s="2"/>
      <c r="I979" s="5"/>
      <c r="J979" s="2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3.5" customHeight="1" x14ac:dyDescent="0.15">
      <c r="A980" s="2"/>
      <c r="B980" s="2"/>
      <c r="C980" s="2"/>
      <c r="D980" s="2"/>
      <c r="E980" s="2"/>
      <c r="F980" s="2"/>
      <c r="G980" s="5"/>
      <c r="H980" s="2"/>
      <c r="I980" s="5"/>
      <c r="J980" s="2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3.5" customHeight="1" x14ac:dyDescent="0.15">
      <c r="A981" s="2"/>
      <c r="B981" s="2"/>
      <c r="C981" s="2"/>
      <c r="D981" s="2"/>
      <c r="E981" s="2"/>
      <c r="F981" s="2"/>
      <c r="G981" s="5"/>
      <c r="H981" s="2"/>
      <c r="I981" s="5"/>
      <c r="J981" s="2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3.5" customHeight="1" x14ac:dyDescent="0.15">
      <c r="A982" s="2"/>
      <c r="B982" s="2"/>
      <c r="C982" s="2"/>
      <c r="D982" s="2"/>
      <c r="E982" s="2"/>
      <c r="F982" s="2"/>
      <c r="G982" s="5"/>
      <c r="H982" s="2"/>
      <c r="I982" s="5"/>
      <c r="J982" s="2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3.5" customHeight="1" x14ac:dyDescent="0.15">
      <c r="A983" s="2"/>
      <c r="B983" s="2"/>
      <c r="C983" s="2"/>
      <c r="D983" s="2"/>
      <c r="E983" s="2"/>
      <c r="F983" s="2"/>
      <c r="G983" s="5"/>
      <c r="H983" s="2"/>
      <c r="I983" s="5"/>
      <c r="J983" s="2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3.5" customHeight="1" x14ac:dyDescent="0.15">
      <c r="A984" s="2"/>
      <c r="B984" s="2"/>
      <c r="C984" s="2"/>
      <c r="D984" s="2"/>
      <c r="E984" s="2"/>
      <c r="F984" s="2"/>
      <c r="G984" s="5"/>
      <c r="H984" s="2"/>
      <c r="I984" s="5"/>
      <c r="J984" s="2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3.5" customHeight="1" x14ac:dyDescent="0.15">
      <c r="A985" s="2"/>
      <c r="B985" s="2"/>
      <c r="C985" s="2"/>
      <c r="D985" s="2"/>
      <c r="E985" s="2"/>
      <c r="F985" s="2"/>
      <c r="G985" s="5"/>
      <c r="H985" s="2"/>
      <c r="I985" s="5"/>
      <c r="J985" s="2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3.5" customHeight="1" x14ac:dyDescent="0.15">
      <c r="A986" s="2"/>
      <c r="B986" s="2"/>
      <c r="C986" s="2"/>
      <c r="D986" s="2"/>
      <c r="E986" s="2"/>
      <c r="F986" s="2"/>
      <c r="G986" s="5"/>
      <c r="H986" s="2"/>
      <c r="I986" s="5"/>
      <c r="J986" s="2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3.5" customHeight="1" x14ac:dyDescent="0.15">
      <c r="A987" s="2"/>
      <c r="B987" s="2"/>
      <c r="C987" s="2"/>
      <c r="D987" s="2"/>
      <c r="E987" s="2"/>
      <c r="F987" s="2"/>
      <c r="G987" s="5"/>
      <c r="H987" s="2"/>
      <c r="I987" s="5"/>
      <c r="J987" s="2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3.5" customHeight="1" x14ac:dyDescent="0.15">
      <c r="A988" s="2"/>
      <c r="B988" s="2"/>
      <c r="C988" s="2"/>
      <c r="D988" s="2"/>
      <c r="E988" s="2"/>
      <c r="F988" s="2"/>
      <c r="G988" s="5"/>
      <c r="H988" s="2"/>
      <c r="I988" s="5"/>
      <c r="J988" s="2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3.5" customHeight="1" x14ac:dyDescent="0.15">
      <c r="A989" s="2"/>
      <c r="B989" s="2"/>
      <c r="C989" s="2"/>
      <c r="D989" s="2"/>
      <c r="E989" s="2"/>
      <c r="F989" s="2"/>
      <c r="G989" s="5"/>
      <c r="H989" s="2"/>
      <c r="I989" s="5"/>
      <c r="J989" s="2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3.5" customHeight="1" x14ac:dyDescent="0.15">
      <c r="A990" s="2"/>
      <c r="B990" s="2"/>
      <c r="C990" s="2"/>
      <c r="D990" s="2"/>
      <c r="E990" s="2"/>
      <c r="F990" s="2"/>
      <c r="G990" s="5"/>
      <c r="H990" s="2"/>
      <c r="I990" s="5"/>
      <c r="J990" s="2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3.5" customHeight="1" x14ac:dyDescent="0.15">
      <c r="A991" s="2"/>
      <c r="B991" s="2"/>
      <c r="C991" s="2"/>
      <c r="D991" s="2"/>
      <c r="E991" s="2"/>
      <c r="F991" s="2"/>
      <c r="G991" s="5"/>
      <c r="H991" s="2"/>
      <c r="I991" s="5"/>
      <c r="J991" s="2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3.5" customHeight="1" x14ac:dyDescent="0.15">
      <c r="A992" s="2"/>
      <c r="B992" s="2"/>
      <c r="C992" s="2"/>
      <c r="D992" s="2"/>
      <c r="E992" s="2"/>
      <c r="F992" s="2"/>
      <c r="G992" s="5"/>
      <c r="H992" s="2"/>
      <c r="I992" s="5"/>
      <c r="J992" s="2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3.5" customHeight="1" x14ac:dyDescent="0.15">
      <c r="A993" s="2"/>
      <c r="B993" s="2"/>
      <c r="C993" s="2"/>
      <c r="D993" s="2"/>
      <c r="E993" s="2"/>
      <c r="F993" s="2"/>
      <c r="G993" s="5"/>
      <c r="H993" s="2"/>
      <c r="I993" s="5"/>
      <c r="J993" s="2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3.5" customHeight="1" x14ac:dyDescent="0.15">
      <c r="A994" s="2"/>
      <c r="B994" s="2"/>
      <c r="C994" s="2"/>
      <c r="D994" s="2"/>
      <c r="E994" s="2"/>
      <c r="F994" s="2"/>
      <c r="G994" s="5"/>
      <c r="H994" s="2"/>
      <c r="I994" s="5"/>
      <c r="J994" s="2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3.5" customHeight="1" x14ac:dyDescent="0.15">
      <c r="A995" s="2"/>
      <c r="B995" s="2"/>
      <c r="C995" s="2"/>
      <c r="D995" s="2"/>
      <c r="E995" s="2"/>
      <c r="F995" s="2"/>
      <c r="G995" s="5"/>
      <c r="H995" s="2"/>
      <c r="I995" s="5"/>
      <c r="J995" s="2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3.5" customHeight="1" x14ac:dyDescent="0.15">
      <c r="A996" s="2"/>
      <c r="B996" s="2"/>
      <c r="C996" s="2"/>
      <c r="D996" s="2"/>
      <c r="E996" s="2"/>
      <c r="F996" s="2"/>
      <c r="G996" s="5"/>
      <c r="H996" s="2"/>
      <c r="I996" s="5"/>
      <c r="J996" s="2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3.5" customHeight="1" x14ac:dyDescent="0.15">
      <c r="A997" s="2"/>
      <c r="B997" s="2"/>
      <c r="C997" s="2"/>
      <c r="D997" s="2"/>
      <c r="E997" s="2"/>
      <c r="F997" s="2"/>
      <c r="G997" s="5"/>
      <c r="H997" s="2"/>
      <c r="I997" s="5"/>
      <c r="J997" s="2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3.5" customHeight="1" x14ac:dyDescent="0.15">
      <c r="A998" s="2"/>
      <c r="B998" s="2"/>
      <c r="C998" s="2"/>
      <c r="D998" s="2"/>
      <c r="E998" s="2"/>
      <c r="F998" s="2"/>
      <c r="G998" s="5"/>
      <c r="H998" s="2"/>
      <c r="I998" s="5"/>
      <c r="J998" s="2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3.5" customHeight="1" x14ac:dyDescent="0.15">
      <c r="A999" s="2"/>
      <c r="B999" s="2"/>
      <c r="C999" s="2"/>
      <c r="D999" s="2"/>
      <c r="E999" s="2"/>
      <c r="F999" s="2"/>
      <c r="G999" s="5"/>
      <c r="H999" s="2"/>
      <c r="I999" s="5"/>
      <c r="J999" s="2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3.5" customHeight="1" x14ac:dyDescent="0.15">
      <c r="A1000" s="2"/>
      <c r="B1000" s="2"/>
      <c r="C1000" s="2"/>
      <c r="D1000" s="2"/>
      <c r="E1000" s="2"/>
      <c r="F1000" s="2"/>
      <c r="G1000" s="5"/>
      <c r="H1000" s="2"/>
      <c r="I1000" s="5"/>
      <c r="J1000" s="2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sheetProtection password="DF1D" sheet="1" objects="1" scenarios="1"/>
  <customSheetViews>
    <customSheetView guid="{DABD9BA2-D7B8-4948-BBF0-14D327C4BA24}" scale="80" showPageBreaks="1" showGridLines="0" showRowCol="0" printArea="1">
      <selection activeCell="H9" sqref="H9"/>
      <pageMargins left="0.7" right="0.7" top="0.75" bottom="0.75" header="0.3" footer="0.3"/>
      <pageSetup orientation="portrait" horizontalDpi="0" verticalDpi="0"/>
    </customSheetView>
  </customSheetViews>
  <mergeCells count="24">
    <mergeCell ref="C85:D85"/>
    <mergeCell ref="C217:D217"/>
    <mergeCell ref="C189:D189"/>
    <mergeCell ref="C163:D163"/>
    <mergeCell ref="C143:D143"/>
    <mergeCell ref="C106:D106"/>
    <mergeCell ref="C188:F188"/>
    <mergeCell ref="C216:F216"/>
    <mergeCell ref="B117:H117"/>
    <mergeCell ref="B105:H105"/>
    <mergeCell ref="B142:F142"/>
    <mergeCell ref="B136:H136"/>
    <mergeCell ref="B162:F162"/>
    <mergeCell ref="C118:D118"/>
    <mergeCell ref="E2:J5"/>
    <mergeCell ref="B84:H84"/>
    <mergeCell ref="M70:O70"/>
    <mergeCell ref="E7:J7"/>
    <mergeCell ref="B36:C36"/>
    <mergeCell ref="B23:B24"/>
    <mergeCell ref="B22:C22"/>
    <mergeCell ref="C73:D73"/>
    <mergeCell ref="B70:H70"/>
    <mergeCell ref="B45:C47"/>
  </mergeCells>
  <phoneticPr fontId="2" type="noConversion"/>
  <conditionalFormatting sqref="C24">
    <cfRule type="expression" dxfId="0" priority="6">
      <formula>$C$23="Zebu"</formula>
    </cfRule>
  </conditionalFormatting>
  <conditionalFormatting sqref="J13:J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J15:J56 J9:J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J57:J64">
    <cfRule type="iconSet" priority="1">
      <iconSet iconSet="3Arrows">
        <cfvo type="percent" val="0"/>
        <cfvo type="num" val="0"/>
        <cfvo type="num" val="0" gte="0"/>
      </iconSet>
    </cfRule>
  </conditionalFormatting>
  <dataValidations count="4">
    <dataValidation type="list" allowBlank="1" showInputMessage="1" showErrorMessage="1" prompt="ONLY CROSSBREED ANIMALS." sqref="C24">
      <formula1>$B$72:$C$72</formula1>
    </dataValidation>
    <dataValidation type="list" allowBlank="1" showErrorMessage="1" sqref="C23">
      <formula1>$B$138:$C$138</formula1>
    </dataValidation>
    <dataValidation type="list" allowBlank="1" showErrorMessage="1" sqref="C26">
      <formula1>$B$140:$C$140</formula1>
    </dataValidation>
    <dataValidation type="list" allowBlank="1" showErrorMessage="1" sqref="C25">
      <formula1>$B$139:$D$139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"/>
  <sheetViews>
    <sheetView workbookViewId="0"/>
  </sheetViews>
  <sheetFormatPr baseColWidth="10" defaultColWidth="15.1640625" defaultRowHeight="15" customHeight="1" x14ac:dyDescent="0.2"/>
  <cols>
    <col min="2" max="2" width="115.1640625" customWidth="1"/>
  </cols>
  <sheetData>
    <row r="1" spans="1:2" x14ac:dyDescent="0.2">
      <c r="A1" s="1">
        <f>((120*'Requirements calculation'!$I$18)+('Requirements calculation'!$I$35-(120*'Requirements calculation'!$I$18)*0.64)/0.8)/1000</f>
        <v>0.89900625126161438</v>
      </c>
      <c r="B1" s="1">
        <f>-53.07 + (304.89 * (A1)) + (90.79 *'Requirements calculation'!$I$18) - (3.13 * 'Requirements calculation'!$I$18*'Requirements calculation'!$I$18)</f>
        <v>582.87855467490647</v>
      </c>
    </row>
    <row r="2" spans="1:2" x14ac:dyDescent="0.2">
      <c r="A2">
        <f>(B1+('Requirements calculation'!$I$35-(B1*0.64))/0.8)/1000</f>
        <v>0.90110242867614354</v>
      </c>
      <c r="B2" s="1">
        <f>-53.07 + (304.89 * (A2)) + (90.79 *'Requirements calculation'!$I$18) - (3.13 * 'Requirements calculation'!$I$18*'Requirements calculation'!$I$18)</f>
        <v>583.51765820682215</v>
      </c>
    </row>
    <row r="3" spans="1:2" x14ac:dyDescent="0.2">
      <c r="A3">
        <f>(B2+('Requirements calculation'!$I$35-(B2*0.64))/0.8)/1000</f>
        <v>0.9012302493825266</v>
      </c>
      <c r="B3" s="1">
        <f>-53.07 + (304.89 * (A3)) + (90.79 *'Requirements calculation'!$I$18) - (3.13 * 'Requirements calculation'!$I$18*'Requirements calculation'!$I$18)</f>
        <v>583.55662946199129</v>
      </c>
    </row>
    <row r="4" spans="1:2" x14ac:dyDescent="0.2">
      <c r="A4">
        <f>(B3+('Requirements calculation'!$I$35-(B3*0.64))/0.8)/1000</f>
        <v>0.90123804363356042</v>
      </c>
      <c r="B4" s="1">
        <f>-53.07 + (304.89 * (A4)) + (90.79 *'Requirements calculation'!$I$18) - (3.13 * 'Requirements calculation'!$I$18*'Requirements calculation'!$I$18)</f>
        <v>583.559005851189</v>
      </c>
    </row>
    <row r="5" spans="1:2" x14ac:dyDescent="0.2">
      <c r="A5">
        <f>(B4+('Requirements calculation'!$I$35-(B4*0.64))/0.8)/1000</f>
        <v>0.90123851891139994</v>
      </c>
      <c r="B5" s="1">
        <f>-53.07 + (304.89 * (A5)) + (90.79 *'Requirements calculation'!$I$18) - (3.13 * 'Requirements calculation'!$I$18*'Requirements calculation'!$I$18)</f>
        <v>583.55915075864948</v>
      </c>
    </row>
    <row r="6" spans="1:2" x14ac:dyDescent="0.2">
      <c r="A6">
        <f>(B5+('Requirements calculation'!$I$35-(B5*0.64))/0.8)/1000</f>
        <v>0.90123854789289215</v>
      </c>
      <c r="B6" s="1">
        <f>-53.07 + (304.89 * (A6)) + (90.79 *'Requirements calculation'!$I$18) - (3.13 * 'Requirements calculation'!$I$18*'Requirements calculation'!$I$18)</f>
        <v>583.55915959481661</v>
      </c>
    </row>
    <row r="7" spans="1:2" x14ac:dyDescent="0.2">
      <c r="A7">
        <f>(B6+('Requirements calculation'!$I$35-(B6*0.64))/0.8)/1000</f>
        <v>0.90123854966012551</v>
      </c>
      <c r="B7" s="1">
        <f>-53.07 + (304.89 * (A7)) + (90.79 *'Requirements calculation'!$I$18) - (3.13 * 'Requirements calculation'!$I$18*'Requirements calculation'!$I$18)</f>
        <v>583.55916013362844</v>
      </c>
    </row>
    <row r="8" spans="1:2" x14ac:dyDescent="0.2">
      <c r="A8">
        <f>(B7+('Requirements calculation'!$I$35-(B7*0.64))/0.8)/1000</f>
        <v>0.90123854976788786</v>
      </c>
      <c r="B8" s="1">
        <f>-53.07 + (304.89 * (A8)) + (90.79 *'Requirements calculation'!$I$18) - (3.13 * 'Requirements calculation'!$I$18*'Requirements calculation'!$I$18)</f>
        <v>583.55916016648405</v>
      </c>
    </row>
    <row r="9" spans="1:2" x14ac:dyDescent="0.2">
      <c r="A9">
        <f>(B8+('Requirements calculation'!$I$35-(B8*0.64))/0.8)/1000</f>
        <v>0.90123854977445894</v>
      </c>
      <c r="B9" s="1">
        <f>-53.07 + (304.89 * (A9)) + (90.79 *'Requirements calculation'!$I$18) - (3.13 * 'Requirements calculation'!$I$18*'Requirements calculation'!$I$18)</f>
        <v>583.55916016848755</v>
      </c>
    </row>
    <row r="10" spans="1:2" x14ac:dyDescent="0.2">
      <c r="A10">
        <f>(B9+('Requirements calculation'!$I$35-(B9*0.64))/0.8)/1000</f>
        <v>0.90123854977485984</v>
      </c>
      <c r="B10" s="1">
        <f>-53.07 + (304.89 * (A10)) + (90.79 *'Requirements calculation'!$I$18) - (3.13 * 'Requirements calculation'!$I$18*'Requirements calculation'!$I$18)</f>
        <v>583.55916016860976</v>
      </c>
    </row>
    <row r="11" spans="1:2" x14ac:dyDescent="0.2">
      <c r="A11">
        <f>(B10+('Requirements calculation'!$I$35-(B10*0.64))/0.8)/1000</f>
        <v>0.90123854977488416</v>
      </c>
      <c r="B11" s="1">
        <f>-53.07 + (304.89 * (A11)) + (90.79 *'Requirements calculation'!$I$18) - (3.13 * 'Requirements calculation'!$I$18*'Requirements calculation'!$I$18)</f>
        <v>583.55916016861727</v>
      </c>
    </row>
    <row r="12" spans="1:2" x14ac:dyDescent="0.2">
      <c r="A12">
        <f>(B11+('Requirements calculation'!$I$35-(B11*0.64))/0.8)/1000</f>
        <v>0.9012385497748856</v>
      </c>
      <c r="B12" s="1">
        <f>-53.07 + (304.89 * (A12)) + (90.79 *'Requirements calculation'!$I$18) - (3.13 * 'Requirements calculation'!$I$18*'Requirements calculation'!$I$18)</f>
        <v>583.55916016861772</v>
      </c>
    </row>
    <row r="13" spans="1:2" x14ac:dyDescent="0.2">
      <c r="A13">
        <f>(B12+('Requirements calculation'!$I$35-(B12*0.64))/0.8)/1000</f>
        <v>0.90123854977488582</v>
      </c>
      <c r="B13" s="1">
        <f>-53.07 + (304.89 * (A13)) + (90.79 *'Requirements calculation'!$I$18) - (3.13 * 'Requirements calculation'!$I$18*'Requirements calculation'!$I$18)</f>
        <v>583.55916016861772</v>
      </c>
    </row>
    <row r="14" spans="1:2" x14ac:dyDescent="0.2">
      <c r="A14">
        <f>(B13+('Requirements calculation'!$I$35-(B13*0.64))/0.8)/1000</f>
        <v>0.90123854977488582</v>
      </c>
      <c r="B14" s="1">
        <f>-53.07 + (304.89 * (A14)) + (90.79 *'Requirements calculation'!$I$18) - (3.13 * 'Requirements calculation'!$I$18*'Requirements calculation'!$I$18)</f>
        <v>583.55916016861772</v>
      </c>
    </row>
    <row r="15" spans="1:2" x14ac:dyDescent="0.2">
      <c r="A15">
        <f>(B14+('Requirements calculation'!$I$35-(B14*0.64))/0.8)/1000</f>
        <v>0.90123854977488582</v>
      </c>
      <c r="B15" s="1">
        <f>-53.07 + (304.89 * (A15)) + (90.79 *'Requirements calculation'!$I$18) - (3.13 * 'Requirements calculation'!$I$18*'Requirements calculation'!$I$18)</f>
        <v>583.55916016861772</v>
      </c>
    </row>
    <row r="16" spans="1:2" x14ac:dyDescent="0.2">
      <c r="A16">
        <f>(B15+('Requirements calculation'!$I$35-(B15*0.64))/0.8)/1000</f>
        <v>0.90123854977488582</v>
      </c>
      <c r="B16" s="1">
        <f>-53.07 + (304.89 * (A16)) + (90.79 *'Requirements calculation'!$I$18) - (3.13 * 'Requirements calculation'!$I$18*'Requirements calculation'!$I$18)</f>
        <v>583.55916016861772</v>
      </c>
    </row>
    <row r="17" spans="1:2" x14ac:dyDescent="0.2">
      <c r="A17">
        <f>(B16+('Requirements calculation'!$I$35-(B16*0.64))/0.8)/1000</f>
        <v>0.90123854977488582</v>
      </c>
      <c r="B17" s="1">
        <f>-53.07 + (304.89 * (A17)) + (90.79 *'Requirements calculation'!$I$18) - (3.13 * 'Requirements calculation'!$I$18*'Requirements calculation'!$I$18)</f>
        <v>583.55916016861772</v>
      </c>
    </row>
    <row r="18" spans="1:2" x14ac:dyDescent="0.2">
      <c r="A18">
        <f>(B17+('Requirements calculation'!$I$35-(B17*0.64))/0.8)/1000</f>
        <v>0.90123854977488582</v>
      </c>
      <c r="B18" s="1">
        <f>-53.07 + (304.89 * (A18)) + (90.79 *'Requirements calculation'!$I$18) - (3.13 * 'Requirements calculation'!$I$18*'Requirements calculation'!$I$18)</f>
        <v>583.55916016861772</v>
      </c>
    </row>
    <row r="19" spans="1:2" x14ac:dyDescent="0.2">
      <c r="A19">
        <f>(B18+('Requirements calculation'!$I$35-(B18*0.64))/0.8)/1000</f>
        <v>0.90123854977488582</v>
      </c>
      <c r="B19" s="1">
        <f>-53.07 + (304.89 * (A19)) + (90.79 *'Requirements calculation'!$I$18) - (3.13 * 'Requirements calculation'!$I$18*'Requirements calculation'!$I$18)</f>
        <v>583.55916016861772</v>
      </c>
    </row>
    <row r="20" spans="1:2" x14ac:dyDescent="0.2">
      <c r="A20">
        <f>(B19+('Requirements calculation'!$I$35-(B19*0.64))/0.8)/1000</f>
        <v>0.90123854977488582</v>
      </c>
      <c r="B20" s="1">
        <f>-53.07 + (304.89 * (A20)) + (90.79 *'Requirements calculation'!$I$18) - (3.13 * 'Requirements calculation'!$I$18*'Requirements calculation'!$I$18)</f>
        <v>583.55916016861772</v>
      </c>
    </row>
    <row r="21" spans="1:2" x14ac:dyDescent="0.2">
      <c r="A21">
        <f>(B20+('Requirements calculation'!$I$35-(B20*0.64))/0.8)/1000</f>
        <v>0.90123854977488582</v>
      </c>
      <c r="B21" s="1">
        <f>-53.07 + (304.89 * (A21)) + (90.79 *'Requirements calculation'!$I$18) - (3.13 * 'Requirements calculation'!$I$18*'Requirements calculation'!$I$18)</f>
        <v>583.55916016861772</v>
      </c>
    </row>
    <row r="22" spans="1:2" x14ac:dyDescent="0.2">
      <c r="A22">
        <f>(B21+('Requirements calculation'!$I$35-(B21*0.64))/0.8)/1000</f>
        <v>0.90123854977488582</v>
      </c>
      <c r="B22" s="1">
        <f>-53.07 + (304.89 * (A22)) + (90.79 *'Requirements calculation'!$I$18) - (3.13 * 'Requirements calculation'!$I$18*'Requirements calculation'!$I$18)</f>
        <v>583.55916016861772</v>
      </c>
    </row>
    <row r="23" spans="1:2" x14ac:dyDescent="0.2">
      <c r="A23">
        <f>(B22+('Requirements calculation'!$I$35-(B22*0.64))/0.8)/1000</f>
        <v>0.90123854977488582</v>
      </c>
      <c r="B23" s="1">
        <f>-53.07 + (304.89 * (A23)) + (90.79 *'Requirements calculation'!$I$18) - (3.13 * 'Requirements calculation'!$I$18*'Requirements calculation'!$I$18)</f>
        <v>583.55916016861772</v>
      </c>
    </row>
    <row r="24" spans="1:2" x14ac:dyDescent="0.2">
      <c r="A24">
        <f>(B23+('Requirements calculation'!$I$35-(B23*0.64))/0.8)/1000</f>
        <v>0.90123854977488582</v>
      </c>
      <c r="B24" s="1">
        <f>-53.07 + (304.89 * (A24)) + (90.79 *'Requirements calculation'!$I$18) - (3.13 * 'Requirements calculation'!$I$18*'Requirements calculation'!$I$18)</f>
        <v>583.55916016861772</v>
      </c>
    </row>
    <row r="25" spans="1:2" x14ac:dyDescent="0.2">
      <c r="A25">
        <f>(B24+('Requirements calculation'!$I$35-(B24*0.64))/0.8)/1000</f>
        <v>0.90123854977488582</v>
      </c>
      <c r="B25" s="1">
        <f>-53.07 + (304.89 * (A25)) + (90.79 *'Requirements calculation'!$I$18) - (3.13 * 'Requirements calculation'!$I$18*'Requirements calculation'!$I$18)</f>
        <v>583.55916016861772</v>
      </c>
    </row>
    <row r="26" spans="1:2" x14ac:dyDescent="0.2">
      <c r="A26">
        <f>(B25+('Requirements calculation'!$I$35-(B25*0.64))/0.8)/1000</f>
        <v>0.90123854977488582</v>
      </c>
      <c r="B26" s="1">
        <f>-53.07 + (304.89 * (A26)) + (90.79 *'Requirements calculation'!$I$18) - (3.13 * 'Requirements calculation'!$I$18*'Requirements calculation'!$I$18)</f>
        <v>583.55916016861772</v>
      </c>
    </row>
    <row r="27" spans="1:2" x14ac:dyDescent="0.2">
      <c r="A27">
        <f>(B26+('Requirements calculation'!$I$35-(B26*0.64))/0.8)/1000</f>
        <v>0.90123854977488582</v>
      </c>
      <c r="B27" s="1">
        <f>-53.07 + (304.89 * (A27)) + (90.79 *'Requirements calculation'!$I$18) - (3.13 * 'Requirements calculation'!$I$18*'Requirements calculation'!$I$18)</f>
        <v>583.55916016861772</v>
      </c>
    </row>
    <row r="28" spans="1:2" x14ac:dyDescent="0.2">
      <c r="A28">
        <f>(B27+('Requirements calculation'!$I$35-(B27*0.64))/0.8)/1000</f>
        <v>0.90123854977488582</v>
      </c>
      <c r="B28" s="1">
        <f>-53.07 + (304.89 * (A28)) + (90.79 *'Requirements calculation'!$I$18) - (3.13 * 'Requirements calculation'!$I$18*'Requirements calculation'!$I$18)</f>
        <v>583.55916016861772</v>
      </c>
    </row>
    <row r="29" spans="1:2" x14ac:dyDescent="0.2">
      <c r="A29">
        <f>(B28+('Requirements calculation'!$I$35-(B28*0.64))/0.8)/1000</f>
        <v>0.90123854977488582</v>
      </c>
      <c r="B29" s="1">
        <f>-53.07 + (304.89 * (A29)) + (90.79 *'Requirements calculation'!$I$18) - (3.13 * 'Requirements calculation'!$I$18*'Requirements calculation'!$I$18)</f>
        <v>583.55916016861772</v>
      </c>
    </row>
    <row r="30" spans="1:2" x14ac:dyDescent="0.2">
      <c r="A30">
        <f>(B29+('Requirements calculation'!$I$35-(B29*0.64))/0.8)/1000</f>
        <v>0.90123854977488582</v>
      </c>
      <c r="B30" s="1">
        <f>-53.07 + (304.89 * (A30)) + (90.79 *'Requirements calculation'!$I$18) - (3.13 * 'Requirements calculation'!$I$18*'Requirements calculation'!$I$18)</f>
        <v>583.55916016861772</v>
      </c>
    </row>
    <row r="31" spans="1:2" x14ac:dyDescent="0.2">
      <c r="A31">
        <f>(B30+('Requirements calculation'!$I$35-(B30*0.64))/0.8)/1000</f>
        <v>0.90123854977488582</v>
      </c>
      <c r="B31" s="1">
        <f>-53.07 + (304.89 * (A31)) + (90.79 *'Requirements calculation'!$I$18) - (3.13 * 'Requirements calculation'!$I$18*'Requirements calculation'!$I$18)</f>
        <v>583.55916016861772</v>
      </c>
    </row>
    <row r="32" spans="1:2" x14ac:dyDescent="0.2">
      <c r="A32">
        <f>(B31+('Requirements calculation'!$I$35-(B31*0.64))/0.8)/1000</f>
        <v>0.90123854977488582</v>
      </c>
      <c r="B32" s="1">
        <f>-53.07 + (304.89 * (A32)) + (90.79 *'Requirements calculation'!$I$18) - (3.13 * 'Requirements calculation'!$I$18*'Requirements calculation'!$I$18)</f>
        <v>583.55916016861772</v>
      </c>
    </row>
    <row r="33" spans="1:2" x14ac:dyDescent="0.2">
      <c r="A33">
        <f>(B32+('Requirements calculation'!$I$35-(B32*0.64))/0.8)/1000</f>
        <v>0.90123854977488582</v>
      </c>
      <c r="B33" s="1">
        <f>-53.07 + (304.89 * (A33)) + (90.79 *'Requirements calculation'!$I$18) - (3.13 * 'Requirements calculation'!$I$18*'Requirements calculation'!$I$18)</f>
        <v>583.55916016861772</v>
      </c>
    </row>
    <row r="34" spans="1:2" x14ac:dyDescent="0.2">
      <c r="A34">
        <f>(B33+('Requirements calculation'!$I$35-(B33*0.64))/0.8)/1000</f>
        <v>0.90123854977488582</v>
      </c>
      <c r="B34" s="1">
        <f>-53.07 + (304.89 * (A34)) + (90.79 *'Requirements calculation'!$I$18) - (3.13 * 'Requirements calculation'!$I$18*'Requirements calculation'!$I$18)</f>
        <v>583.55916016861772</v>
      </c>
    </row>
    <row r="35" spans="1:2" x14ac:dyDescent="0.2">
      <c r="A35">
        <f>(B34+('Requirements calculation'!$I$35-(B34*0.64))/0.8)/1000</f>
        <v>0.90123854977488582</v>
      </c>
      <c r="B35" s="1">
        <f>-53.07 + (304.89 * (A35)) + (90.79 *'Requirements calculation'!$I$18) - (3.13 * 'Requirements calculation'!$I$18*'Requirements calculation'!$I$18)</f>
        <v>583.55916016861772</v>
      </c>
    </row>
    <row r="36" spans="1:2" x14ac:dyDescent="0.2">
      <c r="A36">
        <f>(B35+('Requirements calculation'!$I$35-(B35*0.64))/0.8)/1000</f>
        <v>0.90123854977488582</v>
      </c>
      <c r="B36" s="1">
        <f>-53.07 + (304.89 * (A36)) + (90.79 *'Requirements calculation'!$I$18) - (3.13 * 'Requirements calculation'!$I$18*'Requirements calculation'!$I$18)</f>
        <v>583.55916016861772</v>
      </c>
    </row>
    <row r="37" spans="1:2" x14ac:dyDescent="0.2">
      <c r="A37">
        <f>(B36+('Requirements calculation'!$I$35-(B36*0.64))/0.8)/1000</f>
        <v>0.90123854977488582</v>
      </c>
      <c r="B37" s="1">
        <f>-53.07 + (304.89 * (A37)) + (90.79 *'Requirements calculation'!$I$18) - (3.13 * 'Requirements calculation'!$I$18*'Requirements calculation'!$I$18)</f>
        <v>583.55916016861772</v>
      </c>
    </row>
    <row r="38" spans="1:2" x14ac:dyDescent="0.2">
      <c r="A38">
        <f>(B37+('Requirements calculation'!$I$35-(B37*0.64))/0.8)/1000</f>
        <v>0.90123854977488582</v>
      </c>
      <c r="B38" s="1">
        <f>-53.07 + (304.89 * (A38)) + (90.79 *'Requirements calculation'!$I$18) - (3.13 * 'Requirements calculation'!$I$18*'Requirements calculation'!$I$18)</f>
        <v>583.55916016861772</v>
      </c>
    </row>
    <row r="39" spans="1:2" x14ac:dyDescent="0.2">
      <c r="A39">
        <f>(B38+('Requirements calculation'!$I$35-(B38*0.64))/0.8)/1000</f>
        <v>0.90123854977488582</v>
      </c>
      <c r="B39" s="1">
        <f>-53.07 + (304.89 * (A39)) + (90.79 *'Requirements calculation'!$I$18) - (3.13 * 'Requirements calculation'!$I$18*'Requirements calculation'!$I$18)</f>
        <v>583.55916016861772</v>
      </c>
    </row>
    <row r="40" spans="1:2" x14ac:dyDescent="0.2">
      <c r="A40">
        <f>(B39+('Requirements calculation'!$I$35-(B39*0.64))/0.8)/1000</f>
        <v>0.90123854977488582</v>
      </c>
      <c r="B40" s="1">
        <f>-53.07 + (304.89 * (A40)) + (90.79 *'Requirements calculation'!$I$18) - (3.13 * 'Requirements calculation'!$I$18*'Requirements calculation'!$I$18)</f>
        <v>583.55916016861772</v>
      </c>
    </row>
    <row r="41" spans="1:2" x14ac:dyDescent="0.2">
      <c r="A41">
        <f>(B40+('Requirements calculation'!$I$35-(B40*0.64))/0.8)/1000</f>
        <v>0.90123854977488582</v>
      </c>
      <c r="B41" s="1">
        <f>-53.07 + (304.89 * (A41)) + (90.79 *'Requirements calculation'!$I$18) - (3.13 * 'Requirements calculation'!$I$18*'Requirements calculation'!$I$18)</f>
        <v>583.55916016861772</v>
      </c>
    </row>
    <row r="42" spans="1:2" x14ac:dyDescent="0.2">
      <c r="A42">
        <f>(B41+('Requirements calculation'!$I$35-(B41*0.64))/0.8)/1000</f>
        <v>0.90123854977488582</v>
      </c>
      <c r="B42" s="1">
        <f>-53.07 + (304.89 * (A42)) + (90.79 *'Requirements calculation'!$I$18) - (3.13 * 'Requirements calculation'!$I$18*'Requirements calculation'!$I$18)</f>
        <v>583.55916016861772</v>
      </c>
    </row>
    <row r="43" spans="1:2" x14ac:dyDescent="0.2">
      <c r="A43">
        <f>(B42+('Requirements calculation'!$I$35-(B42*0.64))/0.8)/1000</f>
        <v>0.90123854977488582</v>
      </c>
      <c r="B43" s="1">
        <f>-53.07 + (304.89 * (A43)) + (90.79 *'Requirements calculation'!$I$18) - (3.13 * 'Requirements calculation'!$I$18*'Requirements calculation'!$I$18)</f>
        <v>583.55916016861772</v>
      </c>
    </row>
    <row r="44" spans="1:2" x14ac:dyDescent="0.2">
      <c r="A44">
        <f>(B43+('Requirements calculation'!$I$35-(B43*0.64))/0.8)/1000</f>
        <v>0.90123854977488582</v>
      </c>
      <c r="B44" s="1">
        <f>-53.07 + (304.89 * (A44)) + (90.79 *'Requirements calculation'!$I$18) - (3.13 * 'Requirements calculation'!$I$18*'Requirements calculation'!$I$18)</f>
        <v>583.55916016861772</v>
      </c>
    </row>
    <row r="45" spans="1:2" x14ac:dyDescent="0.2">
      <c r="A45">
        <f>(B44+('Requirements calculation'!$I$35-(B44*0.64))/0.8)/1000</f>
        <v>0.90123854977488582</v>
      </c>
      <c r="B45" s="1">
        <f>-53.07 + (304.89 * (A45)) + (90.79 *'Requirements calculation'!$I$18) - (3.13 * 'Requirements calculation'!$I$18*'Requirements calculation'!$I$18)</f>
        <v>583.55916016861772</v>
      </c>
    </row>
    <row r="46" spans="1:2" x14ac:dyDescent="0.2">
      <c r="A46">
        <f>(B45+('Requirements calculation'!$I$35-(B45*0.64))/0.8)/1000</f>
        <v>0.90123854977488582</v>
      </c>
      <c r="B46" s="1">
        <f>-53.07 + (304.89 * (A46)) + (90.79 *'Requirements calculation'!$I$18) - (3.13 * 'Requirements calculation'!$I$18*'Requirements calculation'!$I$18)</f>
        <v>583.55916016861772</v>
      </c>
    </row>
    <row r="47" spans="1:2" x14ac:dyDescent="0.2">
      <c r="A47">
        <f>(B46+('Requirements calculation'!$I$35-(B46*0.64))/0.8)/1000</f>
        <v>0.90123854977488582</v>
      </c>
      <c r="B47" s="1">
        <f>-53.07 + (304.89 * (A47)) + (90.79 *'Requirements calculation'!$I$18) - (3.13 * 'Requirements calculation'!$I$18*'Requirements calculation'!$I$18)</f>
        <v>583.55916016861772</v>
      </c>
    </row>
    <row r="48" spans="1:2" x14ac:dyDescent="0.2">
      <c r="A48">
        <f>(B47+('Requirements calculation'!$I$35-(B47*0.64))/0.8)/1000</f>
        <v>0.90123854977488582</v>
      </c>
      <c r="B48" s="1">
        <f>-53.07 + (304.89 * (A48)) + (90.79 *'Requirements calculation'!$I$18) - (3.13 * 'Requirements calculation'!$I$18*'Requirements calculation'!$I$18)</f>
        <v>583.55916016861772</v>
      </c>
    </row>
    <row r="49" spans="1:2" x14ac:dyDescent="0.2">
      <c r="A49">
        <f>(B48+('Requirements calculation'!$I$35-(B48*0.64))/0.8)/1000</f>
        <v>0.90123854977488582</v>
      </c>
      <c r="B49" s="1">
        <f>-53.07 + (304.89 * (A49)) + (90.79 *'Requirements calculation'!$I$18) - (3.13 * 'Requirements calculation'!$I$18*'Requirements calculation'!$I$18)</f>
        <v>583.55916016861772</v>
      </c>
    </row>
    <row r="50" spans="1:2" x14ac:dyDescent="0.2">
      <c r="A50">
        <f>(B49+('Requirements calculation'!$I$35-(B49*0.64))/0.8)/1000</f>
        <v>0.90123854977488582</v>
      </c>
      <c r="B50" s="1">
        <f>-53.07 + (304.89 * (A50)) + (90.79 *'Requirements calculation'!$I$18) - (3.13 * 'Requirements calculation'!$I$18*'Requirements calculation'!$I$18)</f>
        <v>583.55916016861772</v>
      </c>
    </row>
    <row r="51" spans="1:2" x14ac:dyDescent="0.2">
      <c r="A51">
        <f>(B50+('Requirements calculation'!$I$35-(B50*0.64))/0.8)/1000</f>
        <v>0.90123854977488582</v>
      </c>
      <c r="B51" s="1">
        <f>-53.07 + (304.89 * (A51)) + (90.79 *'Requirements calculation'!$I$18) - (3.13 * 'Requirements calculation'!$I$18*'Requirements calculation'!$I$18)</f>
        <v>583.55916016861772</v>
      </c>
    </row>
    <row r="52" spans="1:2" x14ac:dyDescent="0.2">
      <c r="A52">
        <f>(B51+('Requirements calculation'!$I$35-(B51*0.64))/0.8)/1000</f>
        <v>0.90123854977488582</v>
      </c>
      <c r="B52" s="1">
        <f>-53.07 + (304.89 * (A52)) + (90.79 *'Requirements calculation'!$I$18) - (3.13 * 'Requirements calculation'!$I$18*'Requirements calculation'!$I$18)</f>
        <v>583.55916016861772</v>
      </c>
    </row>
    <row r="53" spans="1:2" x14ac:dyDescent="0.2">
      <c r="A53">
        <f>(B52+('Requirements calculation'!$I$35-(B52*0.64))/0.8)/1000</f>
        <v>0.90123854977488582</v>
      </c>
      <c r="B53" s="1">
        <f>-53.07 + (304.89 * (A53)) + (90.79 *'Requirements calculation'!$I$18) - (3.13 * 'Requirements calculation'!$I$18*'Requirements calculation'!$I$18)</f>
        <v>583.55916016861772</v>
      </c>
    </row>
    <row r="54" spans="1:2" x14ac:dyDescent="0.2">
      <c r="A54">
        <f>(B53+('Requirements calculation'!$I$35-(B53*0.64))/0.8)/1000</f>
        <v>0.90123854977488582</v>
      </c>
      <c r="B54" s="1">
        <f>-53.07 + (304.89 * (A54)) + (90.79 *'Requirements calculation'!$I$18) - (3.13 * 'Requirements calculation'!$I$18*'Requirements calculation'!$I$18)</f>
        <v>583.55916016861772</v>
      </c>
    </row>
    <row r="55" spans="1:2" x14ac:dyDescent="0.2">
      <c r="A55">
        <f>(B54+('Requirements calculation'!$I$35-(B54*0.64))/0.8)/1000</f>
        <v>0.90123854977488582</v>
      </c>
      <c r="B55" s="1">
        <f>-53.07 + (304.89 * (A55)) + (90.79 *'Requirements calculation'!$I$18) - (3.13 * 'Requirements calculation'!$I$18*'Requirements calculation'!$I$18)</f>
        <v>583.55916016861772</v>
      </c>
    </row>
    <row r="56" spans="1:2" x14ac:dyDescent="0.2">
      <c r="A56">
        <f>(B55+('Requirements calculation'!$I$35-(B55*0.64))/0.8)/1000</f>
        <v>0.90123854977488582</v>
      </c>
      <c r="B56" s="1">
        <f>-53.07 + (304.89 * (A56)) + (90.79 *'Requirements calculation'!$I$18) - (3.13 * 'Requirements calculation'!$I$18*'Requirements calculation'!$I$18)</f>
        <v>583.55916016861772</v>
      </c>
    </row>
    <row r="57" spans="1:2" x14ac:dyDescent="0.2">
      <c r="A57">
        <f>(B56+('Requirements calculation'!$I$35-(B56*0.64))/0.8)/1000</f>
        <v>0.90123854977488582</v>
      </c>
      <c r="B57" s="1">
        <f>-53.07 + (304.89 * (A57)) + (90.79 *'Requirements calculation'!$I$18) - (3.13 * 'Requirements calculation'!$I$18*'Requirements calculation'!$I$18)</f>
        <v>583.55916016861772</v>
      </c>
    </row>
    <row r="58" spans="1:2" x14ac:dyDescent="0.2">
      <c r="A58">
        <f>(B57+('Requirements calculation'!$I$35-(B57*0.64))/0.8)/1000</f>
        <v>0.90123854977488582</v>
      </c>
      <c r="B58" s="1">
        <f>-53.07 + (304.89 * (A58)) + (90.79 *'Requirements calculation'!$I$18) - (3.13 * 'Requirements calculation'!$I$18*'Requirements calculation'!$I$18)</f>
        <v>583.55916016861772</v>
      </c>
    </row>
    <row r="59" spans="1:2" x14ac:dyDescent="0.2">
      <c r="A59">
        <f>(B58+('Requirements calculation'!$I$35-(B58*0.64))/0.8)/1000</f>
        <v>0.90123854977488582</v>
      </c>
      <c r="B59" s="1">
        <f>-53.07 + (304.89 * (A59)) + (90.79 *'Requirements calculation'!$I$18) - (3.13 * 'Requirements calculation'!$I$18*'Requirements calculation'!$I$18)</f>
        <v>583.55916016861772</v>
      </c>
    </row>
    <row r="60" spans="1:2" x14ac:dyDescent="0.2">
      <c r="A60">
        <f>(B59+('Requirements calculation'!$I$35-(B59*0.64))/0.8)/1000</f>
        <v>0.90123854977488582</v>
      </c>
      <c r="B60" s="1">
        <f>-53.07 + (304.89 * (A60)) + (90.79 *'Requirements calculation'!$I$18) - (3.13 * 'Requirements calculation'!$I$18*'Requirements calculation'!$I$18)</f>
        <v>583.55916016861772</v>
      </c>
    </row>
    <row r="61" spans="1:2" x14ac:dyDescent="0.2">
      <c r="A61">
        <f>(B60+('Requirements calculation'!$I$35-(B60*0.64))/0.8)/1000</f>
        <v>0.90123854977488582</v>
      </c>
      <c r="B61" s="1">
        <f>-53.07 + (304.89 * (A61)) + (90.79 *'Requirements calculation'!$I$18) - (3.13 * 'Requirements calculation'!$I$18*'Requirements calculation'!$I$18)</f>
        <v>583.55916016861772</v>
      </c>
    </row>
    <row r="62" spans="1:2" x14ac:dyDescent="0.2">
      <c r="A62">
        <f>(B61+('Requirements calculation'!$I$35-(B61*0.64))/0.8)/1000</f>
        <v>0.90123854977488582</v>
      </c>
      <c r="B62" s="1">
        <f>-53.07 + (304.89 * (A62)) + (90.79 *'Requirements calculation'!$I$18) - (3.13 * 'Requirements calculation'!$I$18*'Requirements calculation'!$I$18)</f>
        <v>583.55916016861772</v>
      </c>
    </row>
    <row r="63" spans="1:2" x14ac:dyDescent="0.2">
      <c r="A63">
        <f>(B62+('Requirements calculation'!$I$35-(B62*0.64))/0.8)/1000</f>
        <v>0.90123854977488582</v>
      </c>
      <c r="B63" s="1">
        <f>-53.07 + (304.89 * (A63)) + (90.79 *'Requirements calculation'!$I$18) - (3.13 * 'Requirements calculation'!$I$18*'Requirements calculation'!$I$18)</f>
        <v>583.55916016861772</v>
      </c>
    </row>
    <row r="64" spans="1:2" x14ac:dyDescent="0.2">
      <c r="A64">
        <f>(B63+('Requirements calculation'!$I$35-(B63*0.64))/0.8)/1000</f>
        <v>0.90123854977488582</v>
      </c>
      <c r="B64" s="1">
        <f>-53.07 + (304.89 * (A64)) + (90.79 *'Requirements calculation'!$I$18) - (3.13 * 'Requirements calculation'!$I$18*'Requirements calculation'!$I$18)</f>
        <v>583.55916016861772</v>
      </c>
    </row>
    <row r="65" spans="1:2" x14ac:dyDescent="0.2">
      <c r="A65">
        <f>(B64+('Requirements calculation'!$I$35-(B64*0.64))/0.8)/1000</f>
        <v>0.90123854977488582</v>
      </c>
      <c r="B65" s="1">
        <f>-53.07 + (304.89 * (A65)) + (90.79 *'Requirements calculation'!$I$18) - (3.13 * 'Requirements calculation'!$I$18*'Requirements calculation'!$I$18)</f>
        <v>583.55916016861772</v>
      </c>
    </row>
    <row r="66" spans="1:2" x14ac:dyDescent="0.2">
      <c r="A66">
        <f>(B65+('Requirements calculation'!$I$35-(B65*0.64))/0.8)/1000</f>
        <v>0.90123854977488582</v>
      </c>
      <c r="B66" s="1">
        <f>-53.07 + (304.89 * (A66)) + (90.79 *'Requirements calculation'!$I$18) - (3.13 * 'Requirements calculation'!$I$18*'Requirements calculation'!$I$18)</f>
        <v>583.55916016861772</v>
      </c>
    </row>
    <row r="67" spans="1:2" x14ac:dyDescent="0.2">
      <c r="A67">
        <f>(B66+('Requirements calculation'!$I$35-(B66*0.64))/0.8)/1000</f>
        <v>0.90123854977488582</v>
      </c>
      <c r="B67" s="1">
        <f>-53.07 + (304.89 * (A67)) + (90.79 *'Requirements calculation'!$I$18) - (3.13 * 'Requirements calculation'!$I$18*'Requirements calculation'!$I$18)</f>
        <v>583.55916016861772</v>
      </c>
    </row>
    <row r="68" spans="1:2" x14ac:dyDescent="0.2">
      <c r="A68">
        <f>(B67+('Requirements calculation'!$I$35-(B67*0.64))/0.8)/1000</f>
        <v>0.90123854977488582</v>
      </c>
      <c r="B68" s="1">
        <f>-53.07 + (304.89 * (A68)) + (90.79 *'Requirements calculation'!$I$18) - (3.13 * 'Requirements calculation'!$I$18*'Requirements calculation'!$I$18)</f>
        <v>583.55916016861772</v>
      </c>
    </row>
    <row r="69" spans="1:2" x14ac:dyDescent="0.2">
      <c r="A69">
        <f>(B68+('Requirements calculation'!$I$35-(B68*0.64))/0.8)/1000</f>
        <v>0.90123854977488582</v>
      </c>
      <c r="B69" s="1">
        <f>-53.07 + (304.89 * (A69)) + (90.79 *'Requirements calculation'!$I$18) - (3.13 * 'Requirements calculation'!$I$18*'Requirements calculation'!$I$18)</f>
        <v>583.55916016861772</v>
      </c>
    </row>
    <row r="70" spans="1:2" x14ac:dyDescent="0.2">
      <c r="A70">
        <f>(B69+('Requirements calculation'!$I$35-(B69*0.64))/0.8)/1000</f>
        <v>0.90123854977488582</v>
      </c>
      <c r="B70" s="1">
        <f>-53.07 + (304.89 * (A70)) + (90.79 *'Requirements calculation'!$I$18) - (3.13 * 'Requirements calculation'!$I$18*'Requirements calculation'!$I$18)</f>
        <v>583.55916016861772</v>
      </c>
    </row>
    <row r="71" spans="1:2" x14ac:dyDescent="0.2">
      <c r="A71">
        <f>(B70+('Requirements calculation'!$I$35-(B70*0.64))/0.8)/1000</f>
        <v>0.90123854977488582</v>
      </c>
      <c r="B71" s="1">
        <f>-53.07 + (304.89 * (A71)) + (90.79 *'Requirements calculation'!$I$18) - (3.13 * 'Requirements calculation'!$I$18*'Requirements calculation'!$I$18)</f>
        <v>583.55916016861772</v>
      </c>
    </row>
    <row r="72" spans="1:2" x14ac:dyDescent="0.2">
      <c r="A72">
        <f>(B71+('Requirements calculation'!$I$35-(B71*0.64))/0.8)/1000</f>
        <v>0.90123854977488582</v>
      </c>
      <c r="B72" s="1">
        <f>-53.07 + (304.89 * (A72)) + (90.79 *'Requirements calculation'!$I$18) - (3.13 * 'Requirements calculation'!$I$18*'Requirements calculation'!$I$18)</f>
        <v>583.55916016861772</v>
      </c>
    </row>
    <row r="73" spans="1:2" x14ac:dyDescent="0.2">
      <c r="A73">
        <f>(B72+('Requirements calculation'!$I$35-(B72*0.64))/0.8)/1000</f>
        <v>0.90123854977488582</v>
      </c>
      <c r="B73" s="1">
        <f>-53.07 + (304.89 * (A73)) + (90.79 *'Requirements calculation'!$I$18) - (3.13 * 'Requirements calculation'!$I$18*'Requirements calculation'!$I$18)</f>
        <v>583.55916016861772</v>
      </c>
    </row>
    <row r="74" spans="1:2" x14ac:dyDescent="0.2">
      <c r="A74">
        <f>(B73+('Requirements calculation'!$I$35-(B73*0.64))/0.8)/1000</f>
        <v>0.90123854977488582</v>
      </c>
      <c r="B74" s="1">
        <f>-53.07 + (304.89 * (A74)) + (90.79 *'Requirements calculation'!$I$18) - (3.13 * 'Requirements calculation'!$I$18*'Requirements calculation'!$I$18)</f>
        <v>583.55916016861772</v>
      </c>
    </row>
    <row r="75" spans="1:2" x14ac:dyDescent="0.2">
      <c r="A75">
        <f>(B74+('Requirements calculation'!$I$35-(B74*0.64))/0.8)/1000</f>
        <v>0.90123854977488582</v>
      </c>
      <c r="B75" s="1">
        <f>-53.07 + (304.89 * (A75)) + (90.79 *'Requirements calculation'!$I$18) - (3.13 * 'Requirements calculation'!$I$18*'Requirements calculation'!$I$18)</f>
        <v>583.55916016861772</v>
      </c>
    </row>
    <row r="76" spans="1:2" x14ac:dyDescent="0.2">
      <c r="A76">
        <f>(B75+('Requirements calculation'!$I$35-(B75*0.64))/0.8)/1000</f>
        <v>0.90123854977488582</v>
      </c>
      <c r="B76" s="1">
        <f>-53.07 + (304.89 * (A76)) + (90.79 *'Requirements calculation'!$I$18) - (3.13 * 'Requirements calculation'!$I$18*'Requirements calculation'!$I$18)</f>
        <v>583.55916016861772</v>
      </c>
    </row>
    <row r="77" spans="1:2" x14ac:dyDescent="0.2">
      <c r="A77">
        <f>(B76+('Requirements calculation'!$I$35-(B76*0.64))/0.8)/1000</f>
        <v>0.90123854977488582</v>
      </c>
      <c r="B77" s="1">
        <f>-53.07 + (304.89 * (A77)) + (90.79 *'Requirements calculation'!$I$18) - (3.13 * 'Requirements calculation'!$I$18*'Requirements calculation'!$I$18)</f>
        <v>583.55916016861772</v>
      </c>
    </row>
    <row r="78" spans="1:2" x14ac:dyDescent="0.2">
      <c r="A78">
        <f>(B77+('Requirements calculation'!$I$35-(B77*0.64))/0.8)/1000</f>
        <v>0.90123854977488582</v>
      </c>
      <c r="B78" s="1">
        <f>-53.07 + (304.89 * (A78)) + (90.79 *'Requirements calculation'!$I$18) - (3.13 * 'Requirements calculation'!$I$18*'Requirements calculation'!$I$18)</f>
        <v>583.55916016861772</v>
      </c>
    </row>
    <row r="79" spans="1:2" x14ac:dyDescent="0.2">
      <c r="A79">
        <f>(B78+('Requirements calculation'!$I$35-(B78*0.64))/0.8)/1000</f>
        <v>0.90123854977488582</v>
      </c>
      <c r="B79" s="1">
        <f>-53.07 + (304.89 * (A79)) + (90.79 *'Requirements calculation'!$I$18) - (3.13 * 'Requirements calculation'!$I$18*'Requirements calculation'!$I$18)</f>
        <v>583.55916016861772</v>
      </c>
    </row>
    <row r="80" spans="1:2" x14ac:dyDescent="0.2">
      <c r="A80">
        <f>(B79+('Requirements calculation'!$I$35-(B79*0.64))/0.8)/1000</f>
        <v>0.90123854977488582</v>
      </c>
      <c r="B80" s="1">
        <f>-53.07 + (304.89 * (A80)) + (90.79 *'Requirements calculation'!$I$18) - (3.13 * 'Requirements calculation'!$I$18*'Requirements calculation'!$I$18)</f>
        <v>583.55916016861772</v>
      </c>
    </row>
    <row r="81" spans="1:2" x14ac:dyDescent="0.2">
      <c r="A81">
        <f>(B80+('Requirements calculation'!$I$35-(B80*0.64))/0.8)/1000</f>
        <v>0.90123854977488582</v>
      </c>
      <c r="B81" s="1">
        <f>-53.07 + (304.89 * (A81)) + (90.79 *'Requirements calculation'!$I$18) - (3.13 * 'Requirements calculation'!$I$18*'Requirements calculation'!$I$18)</f>
        <v>583.55916016861772</v>
      </c>
    </row>
    <row r="82" spans="1:2" x14ac:dyDescent="0.2">
      <c r="A82">
        <f>(B81+('Requirements calculation'!$I$35-(B81*0.64))/0.8)/1000</f>
        <v>0.90123854977488582</v>
      </c>
      <c r="B82" s="1">
        <f>-53.07 + (304.89 * (A82)) + (90.79 *'Requirements calculation'!$I$18) - (3.13 * 'Requirements calculation'!$I$18*'Requirements calculation'!$I$18)</f>
        <v>583.55916016861772</v>
      </c>
    </row>
    <row r="83" spans="1:2" x14ac:dyDescent="0.2">
      <c r="A83">
        <f>(B82+('Requirements calculation'!$I$35-(B82*0.64))/0.8)/1000</f>
        <v>0.90123854977488582</v>
      </c>
      <c r="B83" s="1">
        <f>-53.07 + (304.89 * (A83)) + (90.79 *'Requirements calculation'!$I$18) - (3.13 * 'Requirements calculation'!$I$18*'Requirements calculation'!$I$18)</f>
        <v>583.55916016861772</v>
      </c>
    </row>
    <row r="84" spans="1:2" x14ac:dyDescent="0.2">
      <c r="A84">
        <f>(B83+('Requirements calculation'!$I$35-(B83*0.64))/0.8)/1000</f>
        <v>0.90123854977488582</v>
      </c>
      <c r="B84" s="1">
        <f>-53.07 + (304.89 * (A84)) + (90.79 *'Requirements calculation'!$I$18) - (3.13 * 'Requirements calculation'!$I$18*'Requirements calculation'!$I$18)</f>
        <v>583.55916016861772</v>
      </c>
    </row>
    <row r="85" spans="1:2" x14ac:dyDescent="0.2">
      <c r="A85">
        <f>(B84+('Requirements calculation'!$I$35-(B84*0.64))/0.8)/1000</f>
        <v>0.90123854977488582</v>
      </c>
      <c r="B85" s="1">
        <f>-53.07 + (304.89 * (A85)) + (90.79 *'Requirements calculation'!$I$18) - (3.13 * 'Requirements calculation'!$I$18*'Requirements calculation'!$I$18)</f>
        <v>583.55916016861772</v>
      </c>
    </row>
    <row r="86" spans="1:2" x14ac:dyDescent="0.2">
      <c r="A86">
        <f>(B85+('Requirements calculation'!$I$35-(B85*0.64))/0.8)/1000</f>
        <v>0.90123854977488582</v>
      </c>
      <c r="B86" s="1">
        <f>-53.07 + (304.89 * (A86)) + (90.79 *'Requirements calculation'!$I$18) - (3.13 * 'Requirements calculation'!$I$18*'Requirements calculation'!$I$18)</f>
        <v>583.55916016861772</v>
      </c>
    </row>
    <row r="87" spans="1:2" x14ac:dyDescent="0.2">
      <c r="A87">
        <f>(B86+('Requirements calculation'!$I$35-(B86*0.64))/0.8)/1000</f>
        <v>0.90123854977488582</v>
      </c>
      <c r="B87" s="1">
        <f>-53.07 + (304.89 * (A87)) + (90.79 *'Requirements calculation'!$I$18) - (3.13 * 'Requirements calculation'!$I$18*'Requirements calculation'!$I$18)</f>
        <v>583.55916016861772</v>
      </c>
    </row>
    <row r="88" spans="1:2" x14ac:dyDescent="0.2">
      <c r="A88">
        <f>(B87+('Requirements calculation'!$I$35-(B87*0.64))/0.8)/1000</f>
        <v>0.90123854977488582</v>
      </c>
      <c r="B88" s="1">
        <f>-53.07 + (304.89 * (A88)) + (90.79 *'Requirements calculation'!$I$18) - (3.13 * 'Requirements calculation'!$I$18*'Requirements calculation'!$I$18)</f>
        <v>583.55916016861772</v>
      </c>
    </row>
    <row r="89" spans="1:2" x14ac:dyDescent="0.2">
      <c r="A89">
        <f>(B88+('Requirements calculation'!$I$35-(B88*0.64))/0.8)/1000</f>
        <v>0.90123854977488582</v>
      </c>
      <c r="B89" s="1">
        <f>-53.07 + (304.89 * (A89)) + (90.79 *'Requirements calculation'!$I$18) - (3.13 * 'Requirements calculation'!$I$18*'Requirements calculation'!$I$18)</f>
        <v>583.55916016861772</v>
      </c>
    </row>
    <row r="90" spans="1:2" x14ac:dyDescent="0.2">
      <c r="A90">
        <f>(B89+('Requirements calculation'!$I$35-(B89*0.64))/0.8)/1000</f>
        <v>0.90123854977488582</v>
      </c>
      <c r="B90" s="1">
        <f>-53.07 + (304.89 * (A90)) + (90.79 *'Requirements calculation'!$I$18) - (3.13 * 'Requirements calculation'!$I$18*'Requirements calculation'!$I$18)</f>
        <v>583.55916016861772</v>
      </c>
    </row>
    <row r="91" spans="1:2" x14ac:dyDescent="0.2">
      <c r="A91">
        <f>(B90+('Requirements calculation'!$I$35-(B90*0.64))/0.8)/1000</f>
        <v>0.90123854977488582</v>
      </c>
      <c r="B91" s="1">
        <f>-53.07 + (304.89 * (A91)) + (90.79 *'Requirements calculation'!$I$18) - (3.13 * 'Requirements calculation'!$I$18*'Requirements calculation'!$I$18)</f>
        <v>583.55916016861772</v>
      </c>
    </row>
    <row r="92" spans="1:2" x14ac:dyDescent="0.2">
      <c r="A92">
        <f>(B91+('Requirements calculation'!$I$35-(B91*0.64))/0.8)/1000</f>
        <v>0.90123854977488582</v>
      </c>
      <c r="B92" s="1">
        <f>-53.07 + (304.89 * (A92)) + (90.79 *'Requirements calculation'!$I$18) - (3.13 * 'Requirements calculation'!$I$18*'Requirements calculation'!$I$18)</f>
        <v>583.55916016861772</v>
      </c>
    </row>
    <row r="93" spans="1:2" x14ac:dyDescent="0.2">
      <c r="A93">
        <f>(B92+('Requirements calculation'!$I$35-(B92*0.64))/0.8)/1000</f>
        <v>0.90123854977488582</v>
      </c>
      <c r="B93" s="1">
        <f>-53.07 + (304.89 * (A93)) + (90.79 *'Requirements calculation'!$I$18) - (3.13 * 'Requirements calculation'!$I$18*'Requirements calculation'!$I$18)</f>
        <v>583.55916016861772</v>
      </c>
    </row>
    <row r="94" spans="1:2" x14ac:dyDescent="0.2">
      <c r="A94">
        <f>(B93+('Requirements calculation'!$I$35-(B93*0.64))/0.8)/1000</f>
        <v>0.90123854977488582</v>
      </c>
      <c r="B94" s="1">
        <f>-53.07 + (304.89 * (A94)) + (90.79 *'Requirements calculation'!$I$18) - (3.13 * 'Requirements calculation'!$I$18*'Requirements calculation'!$I$18)</f>
        <v>583.55916016861772</v>
      </c>
    </row>
    <row r="95" spans="1:2" x14ac:dyDescent="0.2">
      <c r="A95">
        <f>(B94+('Requirements calculation'!$I$35-(B94*0.64))/0.8)/1000</f>
        <v>0.90123854977488582</v>
      </c>
      <c r="B95" s="1">
        <f>-53.07 + (304.89 * (A95)) + (90.79 *'Requirements calculation'!$I$18) - (3.13 * 'Requirements calculation'!$I$18*'Requirements calculation'!$I$18)</f>
        <v>583.55916016861772</v>
      </c>
    </row>
    <row r="96" spans="1:2" x14ac:dyDescent="0.2">
      <c r="A96">
        <f>(B95+('Requirements calculation'!$I$35-(B95*0.64))/0.8)/1000</f>
        <v>0.90123854977488582</v>
      </c>
      <c r="B96" s="1">
        <f>-53.07 + (304.89 * (A96)) + (90.79 *'Requirements calculation'!$I$18) - (3.13 * 'Requirements calculation'!$I$18*'Requirements calculation'!$I$18)</f>
        <v>583.55916016861772</v>
      </c>
    </row>
    <row r="97" spans="1:2" x14ac:dyDescent="0.2">
      <c r="A97">
        <f>(B96+('Requirements calculation'!$I$35-(B96*0.64))/0.8)/1000</f>
        <v>0.90123854977488582</v>
      </c>
      <c r="B97" s="1">
        <f>-53.07 + (304.89 * (A97)) + (90.79 *'Requirements calculation'!$I$18) - (3.13 * 'Requirements calculation'!$I$18*'Requirements calculation'!$I$18)</f>
        <v>583.55916016861772</v>
      </c>
    </row>
    <row r="98" spans="1:2" x14ac:dyDescent="0.2">
      <c r="A98">
        <f>(B97+('Requirements calculation'!$I$35-(B97*0.64))/0.8)/1000</f>
        <v>0.90123854977488582</v>
      </c>
      <c r="B98" s="1">
        <f>-53.07 + (304.89 * (A98)) + (90.79 *'Requirements calculation'!$I$18) - (3.13 * 'Requirements calculation'!$I$18*'Requirements calculation'!$I$18)</f>
        <v>583.55916016861772</v>
      </c>
    </row>
    <row r="99" spans="1:2" x14ac:dyDescent="0.2">
      <c r="A99">
        <f>(B98+('Requirements calculation'!$I$35-(B98*0.64))/0.8)/1000</f>
        <v>0.90123854977488582</v>
      </c>
      <c r="B99" s="1">
        <f>-53.07 + (304.89 * (A99)) + (90.79 *'Requirements calculation'!$I$18) - (3.13 * 'Requirements calculation'!$I$18*'Requirements calculation'!$I$18)</f>
        <v>583.55916016861772</v>
      </c>
    </row>
    <row r="100" spans="1:2" x14ac:dyDescent="0.2">
      <c r="A100">
        <f>(B99+('Requirements calculation'!$I$35-(B99*0.64))/0.8)/1000</f>
        <v>0.90123854977488582</v>
      </c>
      <c r="B100" s="1">
        <f>-53.07 + (304.89 * (A100)) + (90.79 *'Requirements calculation'!$I$18) - (3.13 * 'Requirements calculation'!$I$18*'Requirements calculation'!$I$18)</f>
        <v>583.55916016861772</v>
      </c>
    </row>
  </sheetData>
  <customSheetViews>
    <customSheetView guid="{DABD9BA2-D7B8-4948-BBF0-14D327C4BA24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Requirements calculation</vt:lpstr>
      <vt:lpstr>PBmic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Usuário do Microsoft Office</cp:lastModifiedBy>
  <dcterms:created xsi:type="dcterms:W3CDTF">2016-10-19T11:50:39Z</dcterms:created>
  <dcterms:modified xsi:type="dcterms:W3CDTF">2016-11-10T16:09:05Z</dcterms:modified>
</cp:coreProperties>
</file>